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C:\Users\Marilyn.Vazquez\Downloads\"/>
    </mc:Choice>
  </mc:AlternateContent>
  <xr:revisionPtr revIDLastSave="0" documentId="8_{524F7DA4-173A-4465-BC1C-DC14EA4DE09A}" xr6:coauthVersionLast="47" xr6:coauthVersionMax="47" xr10:uidLastSave="{00000000-0000-0000-0000-000000000000}"/>
  <workbookProtection workbookAlgorithmName="SHA-512" workbookHashValue="mbR7kn7P39NWCsebYIweZU6kjBnBHIjcT7Rnqzxf3WHDw7BiDCqc+16uPQURFr4zohRQGLXW6yMlB/keY8Phig==" workbookSaltValue="mM3hZuBz9fJgG/BfoxQLaA==" workbookSpinCount="100000" lockStructure="1"/>
  <bookViews>
    <workbookView xWindow="-120" yWindow="-120" windowWidth="29040" windowHeight="15720" tabRatio="592" firstSheet="1" activeTab="7" xr2:uid="{72D0B804-3708-47E4-BCAE-679928E56E3D}"/>
  </bookViews>
  <sheets>
    <sheet name="Model Index" sheetId="29" r:id="rId1"/>
    <sheet name="Statewide Cost Summary" sheetId="11" r:id="rId2"/>
    <sheet name="Billable Rate Summary" sheetId="26" r:id="rId3"/>
    <sheet name="Wage Assumptions" sheetId="19" r:id="rId4"/>
    <sheet name="RateCalculators&gt;&gt;" sheetId="28" r:id="rId5"/>
    <sheet name="SelfEmployed" sheetId="18" r:id="rId6"/>
    <sheet name="Agency" sheetId="17" r:id="rId7"/>
    <sheet name="CFC" sheetId="22" r:id="rId8"/>
    <sheet name="Infrastructure" sheetId="43" r:id="rId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7" i="11" l="1" a="1"/>
  <c r="F27" i="11" s="1"/>
  <c r="E28" i="11" a="1"/>
  <c r="E28" i="11" s="1"/>
  <c r="E24" i="11"/>
  <c r="E41" i="19"/>
  <c r="H38" i="19"/>
  <c r="E60" i="22"/>
  <c r="E59" i="22"/>
  <c r="E42" i="22"/>
  <c r="E41" i="22"/>
  <c r="E40" i="22"/>
  <c r="E39" i="22"/>
  <c r="E38" i="22"/>
  <c r="E37" i="22"/>
  <c r="E33" i="22"/>
  <c r="E32" i="22"/>
  <c r="E31" i="22"/>
  <c r="E30" i="22"/>
  <c r="H46" i="19"/>
  <c r="I38" i="19"/>
  <c r="D41" i="19"/>
  <c r="E27" i="11" s="1"/>
  <c r="O39" i="11"/>
  <c r="M39" i="11"/>
  <c r="K39" i="11"/>
  <c r="J39" i="11"/>
  <c r="I39" i="11"/>
  <c r="H39" i="11"/>
  <c r="G39" i="11"/>
  <c r="F39" i="11"/>
  <c r="E39" i="11"/>
  <c r="F37" i="43"/>
  <c r="N20" i="22"/>
  <c r="N17" i="22"/>
  <c r="N16" i="22"/>
  <c r="N14" i="22"/>
  <c r="N12" i="22"/>
  <c r="K16" i="22"/>
  <c r="K17" i="22"/>
  <c r="K18" i="22"/>
  <c r="L18" i="22" s="1"/>
  <c r="N18" i="22" s="1"/>
  <c r="K19" i="22"/>
  <c r="L19" i="22" s="1"/>
  <c r="N19" i="22" s="1"/>
  <c r="K20" i="22"/>
  <c r="K21" i="22"/>
  <c r="L21" i="22" s="1"/>
  <c r="N21" i="22" s="1"/>
  <c r="K22" i="22"/>
  <c r="L22" i="22" s="1"/>
  <c r="N22" i="22" s="1"/>
  <c r="K15" i="22"/>
  <c r="L15" i="22" s="1"/>
  <c r="N15" i="22" s="1"/>
  <c r="K12" i="22"/>
  <c r="K14" i="22"/>
  <c r="K13" i="22"/>
  <c r="L13" i="22" s="1"/>
  <c r="N13" i="22" s="1"/>
  <c r="K11" i="22"/>
  <c r="L11" i="22" s="1"/>
  <c r="N11" i="22" s="1"/>
  <c r="D19" i="22"/>
  <c r="D38" i="22" s="1"/>
  <c r="D20" i="22"/>
  <c r="D39" i="22" s="1"/>
  <c r="D21" i="22"/>
  <c r="D59" i="22" s="1"/>
  <c r="D22" i="22"/>
  <c r="D60" i="22" s="1"/>
  <c r="D23" i="22"/>
  <c r="D40" i="22" s="1"/>
  <c r="D24" i="22"/>
  <c r="D41" i="22" s="1"/>
  <c r="D25" i="22"/>
  <c r="D42" i="22" s="1"/>
  <c r="D18" i="22"/>
  <c r="D37" i="22" s="1"/>
  <c r="D14" i="22"/>
  <c r="D33" i="22" s="1"/>
  <c r="D13" i="22"/>
  <c r="D32" i="22" s="1"/>
  <c r="D12" i="22"/>
  <c r="D31" i="22" s="1"/>
  <c r="D11" i="22"/>
  <c r="D30" i="22" s="1"/>
  <c r="J38" i="19"/>
  <c r="D53" i="19"/>
  <c r="J16" i="22" l="1"/>
  <c r="J17" i="22"/>
  <c r="J11" i="22"/>
  <c r="E18" i="22" s="1"/>
  <c r="J13" i="22"/>
  <c r="J12" i="22"/>
  <c r="J14" i="22"/>
  <c r="J18" i="22"/>
  <c r="J19" i="22"/>
  <c r="J20" i="22"/>
  <c r="J15" i="22"/>
  <c r="J21" i="22"/>
  <c r="J22" i="22"/>
  <c r="E11" i="22" l="1"/>
  <c r="E12" i="22"/>
  <c r="F12" i="22" s="1"/>
  <c r="E13" i="22"/>
  <c r="E14" i="22"/>
  <c r="E19" i="22"/>
  <c r="E25" i="22"/>
  <c r="E23" i="22"/>
  <c r="F23" i="22" s="1"/>
  <c r="E24" i="22"/>
  <c r="E20" i="22"/>
  <c r="E22" i="22"/>
  <c r="F22" i="22" s="1"/>
  <c r="E21" i="22"/>
  <c r="E81" i="43"/>
  <c r="E27" i="43"/>
  <c r="E26" i="43"/>
  <c r="G10" i="43"/>
  <c r="G9" i="43"/>
  <c r="G8" i="43" s="1"/>
  <c r="F9" i="43"/>
  <c r="E9" i="43"/>
  <c r="D9" i="43"/>
  <c r="C9" i="43"/>
  <c r="H9" i="43"/>
  <c r="G7" i="43"/>
  <c r="G6" i="43"/>
  <c r="F6" i="43"/>
  <c r="E6" i="43"/>
  <c r="D6" i="43"/>
  <c r="C6" i="43"/>
  <c r="J110" i="11"/>
  <c r="J109" i="11"/>
  <c r="I109" i="11"/>
  <c r="J107" i="11"/>
  <c r="J106" i="11"/>
  <c r="I106" i="11"/>
  <c r="H106" i="11"/>
  <c r="G106" i="11"/>
  <c r="F106" i="11"/>
  <c r="H58" i="43"/>
  <c r="E54" i="43"/>
  <c r="D54" i="43"/>
  <c r="C54" i="43"/>
  <c r="H42" i="43"/>
  <c r="F42" i="43"/>
  <c r="E42" i="43"/>
  <c r="D42" i="43"/>
  <c r="C42" i="43"/>
  <c r="H41" i="43"/>
  <c r="H40" i="43"/>
  <c r="H34" i="43"/>
  <c r="F29" i="43"/>
  <c r="D29" i="43"/>
  <c r="C29" i="43"/>
  <c r="C37" i="43" s="1"/>
  <c r="H25" i="43"/>
  <c r="F23" i="43"/>
  <c r="E23" i="43"/>
  <c r="F59" i="43"/>
  <c r="F60" i="43" s="1"/>
  <c r="E59" i="43"/>
  <c r="E60" i="43" s="1"/>
  <c r="D59" i="43"/>
  <c r="D60" i="43" s="1"/>
  <c r="C59" i="43"/>
  <c r="H21" i="43"/>
  <c r="F76" i="43"/>
  <c r="E76" i="43"/>
  <c r="D76" i="43"/>
  <c r="C76" i="43"/>
  <c r="D19" i="43"/>
  <c r="C19" i="43"/>
  <c r="F55" i="43"/>
  <c r="H17" i="43"/>
  <c r="E72" i="43"/>
  <c r="D72" i="43"/>
  <c r="C72" i="43"/>
  <c r="F70" i="43"/>
  <c r="E70" i="43"/>
  <c r="D70" i="43"/>
  <c r="C70" i="43"/>
  <c r="I36" i="19"/>
  <c r="F14" i="22" l="1"/>
  <c r="J108" i="11"/>
  <c r="F109" i="11"/>
  <c r="G109" i="11"/>
  <c r="H109" i="11"/>
  <c r="E109" i="11"/>
  <c r="H70" i="43"/>
  <c r="E18" i="43"/>
  <c r="E29" i="43" s="1"/>
  <c r="E37" i="43" s="1"/>
  <c r="E38" i="43" s="1"/>
  <c r="H76" i="43"/>
  <c r="E78" i="43"/>
  <c r="C38" i="43"/>
  <c r="C60" i="43"/>
  <c r="H60" i="43" s="1"/>
  <c r="H59" i="43"/>
  <c r="D77" i="43"/>
  <c r="D78" i="43" s="1"/>
  <c r="F54" i="43"/>
  <c r="F56" i="43" s="1"/>
  <c r="E77" i="43"/>
  <c r="H22" i="43"/>
  <c r="C55" i="43"/>
  <c r="C73" i="43" s="1"/>
  <c r="F19" i="43"/>
  <c r="C23" i="43"/>
  <c r="D55" i="43"/>
  <c r="D56" i="43" s="1"/>
  <c r="C77" i="43"/>
  <c r="C78" i="43" s="1"/>
  <c r="F36" i="43"/>
  <c r="H36" i="43"/>
  <c r="H15" i="43"/>
  <c r="F77" i="43"/>
  <c r="F78" i="43" s="1"/>
  <c r="D37" i="43"/>
  <c r="D23" i="43"/>
  <c r="D27" i="43" s="1"/>
  <c r="F73" i="43"/>
  <c r="D48" i="19"/>
  <c r="D45" i="19"/>
  <c r="D44" i="19"/>
  <c r="D39" i="19"/>
  <c r="D47" i="19"/>
  <c r="D43" i="19"/>
  <c r="D42" i="19"/>
  <c r="D56" i="19"/>
  <c r="D37" i="19"/>
  <c r="D40" i="19"/>
  <c r="J41" i="19"/>
  <c r="J36" i="19"/>
  <c r="H36" i="19"/>
  <c r="D63" i="19" l="1"/>
  <c r="D57" i="19"/>
  <c r="D58" i="19"/>
  <c r="D59" i="19"/>
  <c r="F44" i="19" s="1"/>
  <c r="D55" i="19"/>
  <c r="F40" i="19" s="1"/>
  <c r="D52" i="19"/>
  <c r="D62" i="19"/>
  <c r="F47" i="19" s="1"/>
  <c r="D54" i="19"/>
  <c r="D60" i="19"/>
  <c r="D46" i="19"/>
  <c r="D61" i="19" s="1"/>
  <c r="F11" i="22"/>
  <c r="F13" i="22"/>
  <c r="F18" i="22"/>
  <c r="F19" i="22"/>
  <c r="F21" i="22"/>
  <c r="F25" i="22"/>
  <c r="F20" i="22"/>
  <c r="F24" i="22"/>
  <c r="D73" i="43"/>
  <c r="D84" i="43" s="1"/>
  <c r="H18" i="43"/>
  <c r="H29" i="43" s="1"/>
  <c r="E19" i="43"/>
  <c r="E48" i="43" s="1"/>
  <c r="E55" i="43"/>
  <c r="E56" i="43" s="1"/>
  <c r="E64" i="43" s="1"/>
  <c r="E10" i="43" s="1"/>
  <c r="H78" i="43"/>
  <c r="D64" i="43"/>
  <c r="D10" i="43" s="1"/>
  <c r="D30" i="43"/>
  <c r="H23" i="43"/>
  <c r="H37" i="43"/>
  <c r="H54" i="43"/>
  <c r="C27" i="43"/>
  <c r="C48" i="43" s="1"/>
  <c r="C84" i="43"/>
  <c r="F27" i="43"/>
  <c r="F30" i="43" s="1"/>
  <c r="H55" i="43"/>
  <c r="C46" i="43"/>
  <c r="C56" i="43"/>
  <c r="F64" i="43"/>
  <c r="F10" i="43" s="1"/>
  <c r="F38" i="43"/>
  <c r="C74" i="43"/>
  <c r="F72" i="43"/>
  <c r="D38" i="43"/>
  <c r="H77" i="43"/>
  <c r="D74" i="43" l="1"/>
  <c r="J44" i="19"/>
  <c r="F26" i="22"/>
  <c r="F15" i="22"/>
  <c r="F46" i="19"/>
  <c r="F48" i="19"/>
  <c r="F45" i="19"/>
  <c r="F39" i="19"/>
  <c r="F33" i="22"/>
  <c r="F43" i="19"/>
  <c r="F42" i="19"/>
  <c r="F37" i="19"/>
  <c r="H110" i="11"/>
  <c r="E8" i="43"/>
  <c r="I110" i="11"/>
  <c r="F8" i="43"/>
  <c r="G110" i="11"/>
  <c r="D8" i="43"/>
  <c r="H19" i="43"/>
  <c r="E30" i="43"/>
  <c r="E73" i="43"/>
  <c r="E80" i="43"/>
  <c r="H62" i="43"/>
  <c r="H56" i="43"/>
  <c r="F74" i="43"/>
  <c r="H72" i="43"/>
  <c r="D80" i="43"/>
  <c r="D82" i="43" s="1"/>
  <c r="D7" i="43" s="1"/>
  <c r="D48" i="43"/>
  <c r="D46" i="43"/>
  <c r="F48" i="43"/>
  <c r="F80" i="43"/>
  <c r="E46" i="43"/>
  <c r="H38" i="43"/>
  <c r="F84" i="43"/>
  <c r="C80" i="43"/>
  <c r="C82" i="43" s="1"/>
  <c r="C7" i="43" s="1"/>
  <c r="H27" i="43"/>
  <c r="H6" i="43" s="1"/>
  <c r="C30" i="43"/>
  <c r="J37" i="19" l="1"/>
  <c r="J48" i="19"/>
  <c r="F42" i="22"/>
  <c r="J42" i="19"/>
  <c r="J46" i="19"/>
  <c r="J45" i="19"/>
  <c r="F60" i="22"/>
  <c r="J39" i="19"/>
  <c r="F32" i="22"/>
  <c r="F59" i="22"/>
  <c r="E106" i="11"/>
  <c r="E17" i="11" s="1"/>
  <c r="G108" i="11"/>
  <c r="G107" i="11"/>
  <c r="I108" i="11"/>
  <c r="H108" i="11"/>
  <c r="F107" i="11"/>
  <c r="E84" i="43"/>
  <c r="H73" i="43"/>
  <c r="H84" i="43" s="1"/>
  <c r="E74" i="43"/>
  <c r="E82" i="43" s="1"/>
  <c r="H48" i="43"/>
  <c r="D87" i="43"/>
  <c r="D85" i="43"/>
  <c r="F46" i="43"/>
  <c r="H30" i="43"/>
  <c r="C87" i="43"/>
  <c r="F82" i="43"/>
  <c r="H80" i="43"/>
  <c r="H44" i="43"/>
  <c r="C85" i="43"/>
  <c r="C64" i="43"/>
  <c r="C10" i="43" s="1"/>
  <c r="I57" i="17"/>
  <c r="E24" i="18"/>
  <c r="F61" i="22" l="1"/>
  <c r="F110" i="11"/>
  <c r="C8" i="43"/>
  <c r="F85" i="43"/>
  <c r="F7" i="43"/>
  <c r="E87" i="43"/>
  <c r="E7" i="43"/>
  <c r="E85" i="43"/>
  <c r="H74" i="43"/>
  <c r="F87" i="43"/>
  <c r="H82" i="43"/>
  <c r="H7" i="43" s="1"/>
  <c r="H46" i="43"/>
  <c r="H64" i="43"/>
  <c r="H10" i="43" s="1"/>
  <c r="H107" i="11" l="1"/>
  <c r="E110" i="11"/>
  <c r="H8" i="43"/>
  <c r="I107" i="11"/>
  <c r="E107" i="11"/>
  <c r="F17" i="11" s="1"/>
  <c r="F108" i="11"/>
  <c r="H87" i="43"/>
  <c r="H85" i="43"/>
  <c r="E108" i="11" l="1"/>
  <c r="F18" i="11"/>
  <c r="F24" i="19" l="1"/>
  <c r="F25" i="19"/>
  <c r="F26" i="19"/>
  <c r="F21" i="19"/>
  <c r="F15" i="19"/>
  <c r="F16" i="19"/>
  <c r="F17" i="19"/>
  <c r="F18" i="19"/>
  <c r="F19" i="19"/>
  <c r="F20" i="19"/>
  <c r="F22" i="19"/>
  <c r="F14" i="19"/>
  <c r="K17" i="19" l="1"/>
  <c r="K20" i="19"/>
  <c r="K26" i="19"/>
  <c r="K25" i="19"/>
  <c r="K24" i="19"/>
  <c r="K22" i="19"/>
  <c r="K19" i="19"/>
  <c r="K16" i="19"/>
  <c r="K14" i="19"/>
  <c r="K15" i="19"/>
  <c r="K21" i="19"/>
  <c r="K18" i="19"/>
  <c r="E70" i="19" l="1"/>
  <c r="E71" i="19"/>
  <c r="E39" i="19" s="1"/>
  <c r="E72" i="19"/>
  <c r="E69" i="19"/>
  <c r="E40" i="19" s="1"/>
  <c r="N39" i="11"/>
  <c r="L39" i="11"/>
  <c r="I39" i="19" l="1"/>
  <c r="E47" i="19"/>
  <c r="I47" i="19" s="1"/>
  <c r="E43" i="19"/>
  <c r="I43" i="19" s="1"/>
  <c r="I40" i="19"/>
  <c r="E18" i="19"/>
  <c r="E42" i="19"/>
  <c r="I42" i="19" s="1"/>
  <c r="E15" i="19"/>
  <c r="P39" i="11"/>
  <c r="E22" i="19"/>
  <c r="E14" i="19"/>
  <c r="E24" i="19" s="1"/>
  <c r="E17" i="19"/>
  <c r="E16" i="19"/>
  <c r="E21" i="19"/>
  <c r="E20" i="19"/>
  <c r="E19" i="19"/>
  <c r="G70" i="11"/>
  <c r="G87" i="11"/>
  <c r="G58" i="11"/>
  <c r="G78" i="11"/>
  <c r="G72" i="11"/>
  <c r="G59" i="11"/>
  <c r="G57" i="11"/>
  <c r="G71" i="11"/>
  <c r="G63" i="11"/>
  <c r="G79" i="11"/>
  <c r="G80" i="11"/>
  <c r="G96" i="11"/>
  <c r="G86" i="11"/>
  <c r="G88" i="11"/>
  <c r="C13" i="26"/>
  <c r="C49" i="26"/>
  <c r="F49" i="26" s="1"/>
  <c r="C37" i="26"/>
  <c r="F37" i="26" s="1"/>
  <c r="C25" i="26"/>
  <c r="H25" i="17"/>
  <c r="F25" i="17"/>
  <c r="G25" i="17"/>
  <c r="D21" i="19"/>
  <c r="F66" i="17"/>
  <c r="L46" i="18"/>
  <c r="L41" i="18"/>
  <c r="L36" i="18"/>
  <c r="L26" i="18"/>
  <c r="L25" i="18"/>
  <c r="L24" i="18"/>
  <c r="L23" i="18"/>
  <c r="L22" i="18"/>
  <c r="L21" i="18"/>
  <c r="L20" i="18"/>
  <c r="L19" i="18"/>
  <c r="L18" i="18"/>
  <c r="L17" i="18"/>
  <c r="L27" i="18" s="1"/>
  <c r="D89" i="19"/>
  <c r="E37" i="19" l="1"/>
  <c r="I37" i="19" s="1"/>
  <c r="E48" i="19"/>
  <c r="I48" i="19" s="1"/>
  <c r="E45" i="19"/>
  <c r="I45" i="19" s="1"/>
  <c r="E44" i="19"/>
  <c r="I41" i="19"/>
  <c r="E46" i="19"/>
  <c r="I46" i="19" s="1"/>
  <c r="J18" i="19"/>
  <c r="I44" i="19"/>
  <c r="J17" i="19"/>
  <c r="J14" i="19"/>
  <c r="J22" i="19"/>
  <c r="J19" i="19"/>
  <c r="I21" i="19"/>
  <c r="J20" i="19"/>
  <c r="J21" i="19"/>
  <c r="J16" i="19"/>
  <c r="F25" i="26"/>
  <c r="F11" i="17"/>
  <c r="G21" i="19"/>
  <c r="J15" i="19" l="1"/>
  <c r="L21" i="19"/>
  <c r="H76" i="19"/>
  <c r="I76" i="19"/>
  <c r="J76" i="19"/>
  <c r="K76" i="19"/>
  <c r="H77" i="19"/>
  <c r="I77" i="19"/>
  <c r="J77" i="19"/>
  <c r="K77" i="19"/>
  <c r="I75" i="19"/>
  <c r="J75" i="19"/>
  <c r="K75" i="19"/>
  <c r="H75" i="19"/>
  <c r="G66" i="17" l="1"/>
  <c r="H66" i="17"/>
  <c r="F67" i="17"/>
  <c r="G67" i="17"/>
  <c r="H67" i="17"/>
  <c r="F68" i="17"/>
  <c r="G68" i="17"/>
  <c r="H68" i="17"/>
  <c r="F69" i="17"/>
  <c r="G69" i="17"/>
  <c r="H69" i="17"/>
  <c r="F70" i="17"/>
  <c r="G70" i="17"/>
  <c r="H70" i="17"/>
  <c r="F71" i="17"/>
  <c r="G71" i="17"/>
  <c r="H71" i="17"/>
  <c r="F72" i="17"/>
  <c r="G72" i="17"/>
  <c r="H72" i="17"/>
  <c r="F73" i="17"/>
  <c r="G73" i="17"/>
  <c r="H73" i="17"/>
  <c r="F74" i="17"/>
  <c r="G74" i="17"/>
  <c r="H74" i="17"/>
  <c r="F75" i="17"/>
  <c r="G75" i="17"/>
  <c r="H75" i="17"/>
  <c r="F76" i="17"/>
  <c r="G76" i="17"/>
  <c r="H76" i="17"/>
  <c r="E28" i="17"/>
  <c r="F77" i="17" l="1"/>
  <c r="F79" i="17" s="1"/>
  <c r="F84" i="17" s="1"/>
  <c r="H77" i="17"/>
  <c r="H79" i="17" s="1"/>
  <c r="H84" i="17" s="1"/>
  <c r="G77" i="17"/>
  <c r="G79" i="17" s="1"/>
  <c r="G84" i="17" s="1"/>
  <c r="C14" i="26" l="1"/>
  <c r="C12" i="26"/>
  <c r="C11" i="26"/>
  <c r="C10" i="26"/>
  <c r="C9" i="26"/>
  <c r="C8" i="26"/>
  <c r="C7" i="26"/>
  <c r="C6" i="26"/>
  <c r="E17" i="18" l="1"/>
  <c r="G115" i="19"/>
  <c r="E83" i="19" s="1"/>
  <c r="D91" i="19" l="1"/>
  <c r="D90" i="19"/>
  <c r="D22" i="19" s="1"/>
  <c r="D88" i="19"/>
  <c r="D20" i="19" s="1"/>
  <c r="D87" i="19"/>
  <c r="D86" i="19"/>
  <c r="D18" i="19" s="1"/>
  <c r="D85" i="19"/>
  <c r="D17" i="19" s="1"/>
  <c r="D84" i="19"/>
  <c r="D16" i="19" s="1"/>
  <c r="I16" i="19" s="1"/>
  <c r="D81" i="19"/>
  <c r="D14" i="19" s="1"/>
  <c r="D95" i="19"/>
  <c r="D83" i="19" s="1"/>
  <c r="D15" i="19" s="1"/>
  <c r="F107" i="19"/>
  <c r="G107" i="19"/>
  <c r="E84" i="19" s="1"/>
  <c r="F108" i="19"/>
  <c r="G108" i="19"/>
  <c r="E85" i="19" s="1"/>
  <c r="F109" i="19"/>
  <c r="G109" i="19"/>
  <c r="E88" i="19" s="1"/>
  <c r="F110" i="19"/>
  <c r="G110" i="19"/>
  <c r="E86" i="19" s="1"/>
  <c r="F111" i="19"/>
  <c r="G111" i="19"/>
  <c r="E82" i="19" s="1"/>
  <c r="F112" i="19"/>
  <c r="G112" i="19"/>
  <c r="F113" i="19"/>
  <c r="G113" i="19"/>
  <c r="E87" i="19" s="1"/>
  <c r="F114" i="19"/>
  <c r="G114" i="19"/>
  <c r="E91" i="19" s="1"/>
  <c r="F115" i="19"/>
  <c r="F122" i="19"/>
  <c r="F123" i="19"/>
  <c r="F124" i="19"/>
  <c r="F127" i="19"/>
  <c r="F128" i="19"/>
  <c r="F129" i="19"/>
  <c r="I14" i="19" l="1"/>
  <c r="I17" i="19"/>
  <c r="I18" i="19"/>
  <c r="I15" i="19"/>
  <c r="I20" i="19"/>
  <c r="I22" i="19"/>
  <c r="G14" i="19"/>
  <c r="E26" i="19"/>
  <c r="E25" i="19"/>
  <c r="D19" i="19"/>
  <c r="D26" i="19" s="1"/>
  <c r="D125" i="19"/>
  <c r="G16" i="19"/>
  <c r="D130" i="19"/>
  <c r="G124" i="19" s="1"/>
  <c r="G15" i="19"/>
  <c r="G20" i="19"/>
  <c r="G22" i="19"/>
  <c r="G17" i="19"/>
  <c r="G18" i="19"/>
  <c r="D10" i="18"/>
  <c r="C42" i="26"/>
  <c r="F42" i="26" s="1"/>
  <c r="C43" i="26"/>
  <c r="F43" i="26" s="1"/>
  <c r="C44" i="26"/>
  <c r="F44" i="26" s="1"/>
  <c r="C45" i="26"/>
  <c r="F45" i="26" s="1"/>
  <c r="C46" i="26"/>
  <c r="F46" i="26" s="1"/>
  <c r="C47" i="26"/>
  <c r="F47" i="26" s="1"/>
  <c r="C48" i="26"/>
  <c r="F48" i="26" s="1"/>
  <c r="C50" i="26"/>
  <c r="C30" i="26"/>
  <c r="F30" i="26" s="1"/>
  <c r="C31" i="26"/>
  <c r="F31" i="26" s="1"/>
  <c r="C32" i="26"/>
  <c r="F32" i="26" s="1"/>
  <c r="C33" i="26"/>
  <c r="F33" i="26" s="1"/>
  <c r="C34" i="26"/>
  <c r="F34" i="26" s="1"/>
  <c r="C35" i="26"/>
  <c r="F35" i="26" s="1"/>
  <c r="C36" i="26"/>
  <c r="F36" i="26" s="1"/>
  <c r="C38" i="26"/>
  <c r="C26" i="26"/>
  <c r="C24" i="26"/>
  <c r="C23" i="26"/>
  <c r="C22" i="26"/>
  <c r="C21" i="26"/>
  <c r="C20" i="26"/>
  <c r="C19" i="26"/>
  <c r="C18" i="26"/>
  <c r="D41" i="17"/>
  <c r="D40" i="17"/>
  <c r="D39" i="17"/>
  <c r="D38" i="17"/>
  <c r="D37" i="17"/>
  <c r="D36" i="17"/>
  <c r="D35" i="17"/>
  <c r="E34" i="17"/>
  <c r="M4" i="18"/>
  <c r="K4" i="18"/>
  <c r="J4" i="18"/>
  <c r="I4" i="18"/>
  <c r="H4" i="18"/>
  <c r="G4" i="18"/>
  <c r="F4" i="18"/>
  <c r="E4" i="18"/>
  <c r="D25" i="19" l="1"/>
  <c r="I25" i="19" s="1"/>
  <c r="E31" i="17"/>
  <c r="I26" i="19"/>
  <c r="D24" i="19"/>
  <c r="J40" i="19"/>
  <c r="J43" i="19"/>
  <c r="J47" i="19"/>
  <c r="F39" i="22"/>
  <c r="F41" i="22"/>
  <c r="F31" i="22"/>
  <c r="F37" i="22"/>
  <c r="F30" i="22"/>
  <c r="F40" i="22"/>
  <c r="L18" i="19"/>
  <c r="L14" i="19"/>
  <c r="L17" i="19"/>
  <c r="L22" i="19"/>
  <c r="I19" i="19"/>
  <c r="L20" i="19"/>
  <c r="L16" i="19"/>
  <c r="L15" i="19"/>
  <c r="J24" i="19"/>
  <c r="J26" i="19"/>
  <c r="J25" i="19"/>
  <c r="E42" i="17"/>
  <c r="G42" i="17" s="1"/>
  <c r="E35" i="17"/>
  <c r="L10" i="18"/>
  <c r="L13" i="18" s="1"/>
  <c r="F10" i="18"/>
  <c r="F50" i="26"/>
  <c r="G50" i="26"/>
  <c r="I49" i="26"/>
  <c r="I37" i="26"/>
  <c r="I25" i="26"/>
  <c r="F38" i="26"/>
  <c r="G38" i="26"/>
  <c r="F18" i="26"/>
  <c r="F19" i="26"/>
  <c r="F20" i="26"/>
  <c r="F21" i="26"/>
  <c r="F22" i="26"/>
  <c r="E50" i="26"/>
  <c r="F23" i="26"/>
  <c r="F24" i="26"/>
  <c r="F26" i="26"/>
  <c r="E26" i="26"/>
  <c r="G26" i="26"/>
  <c r="E38" i="26"/>
  <c r="M10" i="18"/>
  <c r="G19" i="19"/>
  <c r="I43" i="26"/>
  <c r="I18" i="26"/>
  <c r="I33" i="26"/>
  <c r="I32" i="26"/>
  <c r="I34" i="26"/>
  <c r="I19" i="26"/>
  <c r="I20" i="26"/>
  <c r="I31" i="26"/>
  <c r="I42" i="26"/>
  <c r="I21" i="26"/>
  <c r="I30" i="26"/>
  <c r="I22" i="26"/>
  <c r="I50" i="26"/>
  <c r="I23" i="26"/>
  <c r="I48" i="26"/>
  <c r="I24" i="26"/>
  <c r="I47" i="26"/>
  <c r="I35" i="26"/>
  <c r="I26" i="26"/>
  <c r="I46" i="26"/>
  <c r="I38" i="26"/>
  <c r="I45" i="26"/>
  <c r="I36" i="26"/>
  <c r="I44" i="26"/>
  <c r="E40" i="17"/>
  <c r="E39" i="17"/>
  <c r="E41" i="17"/>
  <c r="E36" i="17"/>
  <c r="E37" i="17"/>
  <c r="E38" i="17"/>
  <c r="G137" i="19"/>
  <c r="G130" i="19"/>
  <c r="G123" i="19"/>
  <c r="G129" i="19"/>
  <c r="G131" i="19"/>
  <c r="G122" i="19"/>
  <c r="G120" i="19"/>
  <c r="G125" i="19"/>
  <c r="G133" i="19"/>
  <c r="G127" i="19"/>
  <c r="G128" i="19"/>
  <c r="G135" i="19"/>
  <c r="G132" i="19"/>
  <c r="G136" i="19"/>
  <c r="G138" i="19"/>
  <c r="E30" i="17" l="1"/>
  <c r="F34" i="22"/>
  <c r="F38" i="22"/>
  <c r="L19" i="19"/>
  <c r="L11" i="18"/>
  <c r="H42" i="17"/>
  <c r="F42" i="17"/>
  <c r="H35" i="17"/>
  <c r="G24" i="19"/>
  <c r="G25" i="19"/>
  <c r="G26" i="19"/>
  <c r="F39" i="17"/>
  <c r="G39" i="17"/>
  <c r="H39" i="17"/>
  <c r="F40" i="17"/>
  <c r="G40" i="17"/>
  <c r="H40" i="17"/>
  <c r="F38" i="17"/>
  <c r="G38" i="17"/>
  <c r="H38" i="17"/>
  <c r="F37" i="17"/>
  <c r="G37" i="17"/>
  <c r="H37" i="17"/>
  <c r="F36" i="17"/>
  <c r="G36" i="17"/>
  <c r="H36" i="17"/>
  <c r="F35" i="17"/>
  <c r="G35" i="17"/>
  <c r="F41" i="17"/>
  <c r="I56" i="17" s="1"/>
  <c r="I58" i="17" s="1"/>
  <c r="G41" i="17"/>
  <c r="H41" i="17"/>
  <c r="F43" i="22" l="1"/>
  <c r="F46" i="22" s="1"/>
  <c r="L26" i="19"/>
  <c r="L24" i="19"/>
  <c r="L25" i="19"/>
  <c r="F43" i="17"/>
  <c r="H43" i="17"/>
  <c r="G43" i="17"/>
  <c r="G55" i="17" s="1"/>
  <c r="F56" i="17" l="1"/>
  <c r="F55" i="17"/>
  <c r="F57" i="17"/>
  <c r="F59" i="17"/>
  <c r="H55" i="17"/>
  <c r="H59" i="17"/>
  <c r="H56" i="17"/>
  <c r="H57" i="17"/>
  <c r="G59" i="17"/>
  <c r="G56" i="17"/>
  <c r="G57" i="17"/>
  <c r="E46" i="18" l="1"/>
  <c r="F46" i="18"/>
  <c r="G46" i="18"/>
  <c r="H46" i="18"/>
  <c r="I46" i="18"/>
  <c r="J46" i="18"/>
  <c r="K46" i="18"/>
  <c r="M46" i="18"/>
  <c r="M13" i="18"/>
  <c r="F69" i="22" l="1"/>
  <c r="F66" i="22"/>
  <c r="F71" i="22" l="1"/>
  <c r="F72" i="22"/>
  <c r="F67" i="22"/>
  <c r="F68" i="22"/>
  <c r="F73" i="22"/>
  <c r="F70" i="22"/>
  <c r="M11" i="18"/>
  <c r="F74" i="22" l="1"/>
  <c r="F76" i="22" s="1"/>
  <c r="E58" i="17"/>
  <c r="F121" i="17" l="1"/>
  <c r="F114" i="17"/>
  <c r="F116" i="17"/>
  <c r="F115" i="17"/>
  <c r="F119" i="17"/>
  <c r="F118" i="17"/>
  <c r="F117" i="17"/>
  <c r="F120" i="17"/>
  <c r="F58" i="17"/>
  <c r="F60" i="17" s="1"/>
  <c r="F63" i="17" s="1"/>
  <c r="F99" i="17"/>
  <c r="F110" i="17"/>
  <c r="F98" i="17"/>
  <c r="G58" i="17"/>
  <c r="G60" i="17" s="1"/>
  <c r="H58" i="17"/>
  <c r="H60" i="17" s="1"/>
  <c r="H63" i="17" s="1"/>
  <c r="F108" i="17"/>
  <c r="F106" i="17"/>
  <c r="F95" i="17"/>
  <c r="F104" i="17"/>
  <c r="F97" i="17"/>
  <c r="F94" i="17"/>
  <c r="F107" i="17"/>
  <c r="F109" i="17"/>
  <c r="F105" i="17"/>
  <c r="F93" i="17"/>
  <c r="F103" i="17"/>
  <c r="F96" i="17"/>
  <c r="F92" i="17"/>
  <c r="F48" i="22"/>
  <c r="F51" i="22"/>
  <c r="F52" i="22" l="1"/>
  <c r="F54" i="22"/>
  <c r="F53" i="22"/>
  <c r="F55" i="22"/>
  <c r="G63" i="17"/>
  <c r="F56" i="22" l="1"/>
  <c r="E29" i="17"/>
  <c r="F63" i="22" l="1"/>
  <c r="F78" i="22" s="1"/>
  <c r="I24" i="19"/>
  <c r="F12" i="17"/>
  <c r="M41" i="18"/>
  <c r="K41" i="18"/>
  <c r="J41" i="18"/>
  <c r="I41" i="18"/>
  <c r="H41" i="18"/>
  <c r="G41" i="18"/>
  <c r="F41" i="18"/>
  <c r="E41" i="18"/>
  <c r="M36" i="18"/>
  <c r="K36" i="18"/>
  <c r="J36" i="18"/>
  <c r="I36" i="18"/>
  <c r="H36" i="18"/>
  <c r="G36" i="18"/>
  <c r="F36" i="18"/>
  <c r="E36" i="18"/>
  <c r="J17" i="18"/>
  <c r="J18" i="18"/>
  <c r="J19" i="18"/>
  <c r="J20" i="18"/>
  <c r="J21" i="18"/>
  <c r="J22" i="18"/>
  <c r="J23" i="18"/>
  <c r="J24" i="18"/>
  <c r="J25" i="18"/>
  <c r="J26" i="18"/>
  <c r="M26" i="18"/>
  <c r="K26" i="18"/>
  <c r="I26" i="18"/>
  <c r="H26" i="18"/>
  <c r="G26" i="18"/>
  <c r="F26" i="18"/>
  <c r="E26" i="18"/>
  <c r="M25" i="18"/>
  <c r="K25" i="18"/>
  <c r="I25" i="18"/>
  <c r="H25" i="18"/>
  <c r="G25" i="18"/>
  <c r="F25" i="18"/>
  <c r="E25" i="18"/>
  <c r="M24" i="18"/>
  <c r="K24" i="18"/>
  <c r="I24" i="18"/>
  <c r="H24" i="18"/>
  <c r="G24" i="18"/>
  <c r="F24" i="18"/>
  <c r="M23" i="18"/>
  <c r="K23" i="18"/>
  <c r="I23" i="18"/>
  <c r="H23" i="18"/>
  <c r="G23" i="18"/>
  <c r="F23" i="18"/>
  <c r="E23" i="18"/>
  <c r="M22" i="18"/>
  <c r="K22" i="18"/>
  <c r="I22" i="18"/>
  <c r="H22" i="18"/>
  <c r="G22" i="18"/>
  <c r="F22" i="18"/>
  <c r="E22" i="18"/>
  <c r="M21" i="18"/>
  <c r="K21" i="18"/>
  <c r="I21" i="18"/>
  <c r="H21" i="18"/>
  <c r="G21" i="18"/>
  <c r="F21" i="18"/>
  <c r="E21" i="18"/>
  <c r="M20" i="18"/>
  <c r="K20" i="18"/>
  <c r="I20" i="18"/>
  <c r="H20" i="18"/>
  <c r="G20" i="18"/>
  <c r="F20" i="18"/>
  <c r="E20" i="18"/>
  <c r="M19" i="18"/>
  <c r="K19" i="18"/>
  <c r="I19" i="18"/>
  <c r="H19" i="18"/>
  <c r="G19" i="18"/>
  <c r="F19" i="18"/>
  <c r="E19" i="18"/>
  <c r="M18" i="18"/>
  <c r="K18" i="18"/>
  <c r="I18" i="18"/>
  <c r="H18" i="18"/>
  <c r="G18" i="18"/>
  <c r="F18" i="18"/>
  <c r="E18" i="18"/>
  <c r="M17" i="18"/>
  <c r="K17" i="18"/>
  <c r="I17" i="18"/>
  <c r="H17" i="18"/>
  <c r="G17" i="18"/>
  <c r="F17" i="18"/>
  <c r="D12" i="18"/>
  <c r="K12" i="18" l="1"/>
  <c r="L12" i="18"/>
  <c r="L14" i="18" s="1"/>
  <c r="L29" i="18" s="1"/>
  <c r="H12" i="17"/>
  <c r="H30" i="17" s="1"/>
  <c r="G12" i="17"/>
  <c r="G30" i="17" s="1"/>
  <c r="F30" i="17"/>
  <c r="H13" i="17"/>
  <c r="H31" i="17" s="1"/>
  <c r="G13" i="17"/>
  <c r="G31" i="17" s="1"/>
  <c r="F13" i="17"/>
  <c r="F31" i="17" s="1"/>
  <c r="H11" i="17"/>
  <c r="H29" i="17" s="1"/>
  <c r="G11" i="17"/>
  <c r="J10" i="18"/>
  <c r="G10" i="18"/>
  <c r="K10" i="18"/>
  <c r="I10" i="18"/>
  <c r="F79" i="22"/>
  <c r="J12" i="18"/>
  <c r="F12" i="18"/>
  <c r="J27" i="18"/>
  <c r="I27" i="18"/>
  <c r="F27" i="18"/>
  <c r="E27" i="18"/>
  <c r="H27" i="18"/>
  <c r="G27" i="18"/>
  <c r="K27" i="18"/>
  <c r="M27" i="18"/>
  <c r="H12" i="18"/>
  <c r="E12" i="18"/>
  <c r="M12" i="18"/>
  <c r="I12" i="18"/>
  <c r="G12" i="18"/>
  <c r="F81" i="22" l="1"/>
  <c r="H25" i="26"/>
  <c r="H37" i="26"/>
  <c r="H49" i="26"/>
  <c r="F14" i="17"/>
  <c r="F50" i="17" s="1"/>
  <c r="L42" i="18"/>
  <c r="J37" i="26" s="1"/>
  <c r="L47" i="18"/>
  <c r="J49" i="26" s="1"/>
  <c r="L37" i="18"/>
  <c r="J25" i="26" s="1"/>
  <c r="G14" i="17"/>
  <c r="G50" i="17" s="1"/>
  <c r="G29" i="17"/>
  <c r="G32" i="17" s="1"/>
  <c r="G49" i="17" s="1"/>
  <c r="F29" i="17"/>
  <c r="F32" i="17" s="1"/>
  <c r="F47" i="17" s="1"/>
  <c r="H14" i="17"/>
  <c r="H50" i="17" s="1"/>
  <c r="H32" i="17"/>
  <c r="I11" i="18"/>
  <c r="I13" i="18"/>
  <c r="K11" i="18"/>
  <c r="K13" i="18"/>
  <c r="G11" i="18"/>
  <c r="G13" i="18"/>
  <c r="F11" i="18"/>
  <c r="F13" i="18"/>
  <c r="J11" i="18"/>
  <c r="J13" i="18"/>
  <c r="E10" i="18"/>
  <c r="H10" i="18"/>
  <c r="M14" i="18"/>
  <c r="M29" i="18" s="1"/>
  <c r="F28" i="11" l="1"/>
  <c r="F29" i="11" s="1"/>
  <c r="G14" i="18"/>
  <c r="G29" i="18" s="1"/>
  <c r="H44" i="26" s="1"/>
  <c r="I14" i="18"/>
  <c r="I29" i="18" s="1"/>
  <c r="H34" i="26" s="1"/>
  <c r="J14" i="18"/>
  <c r="J29" i="18" s="1"/>
  <c r="J42" i="18" s="1"/>
  <c r="J35" i="26" s="1"/>
  <c r="G47" i="17"/>
  <c r="G51" i="17"/>
  <c r="G48" i="17"/>
  <c r="F14" i="18"/>
  <c r="F29" i="18" s="1"/>
  <c r="H19" i="26" s="1"/>
  <c r="F51" i="17"/>
  <c r="F48" i="17"/>
  <c r="F49" i="17"/>
  <c r="H48" i="17"/>
  <c r="H47" i="17"/>
  <c r="H51" i="17"/>
  <c r="H49" i="17"/>
  <c r="K14" i="18"/>
  <c r="K29" i="18" s="1"/>
  <c r="K42" i="18" s="1"/>
  <c r="J36" i="26" s="1"/>
  <c r="E11" i="18"/>
  <c r="E13" i="18"/>
  <c r="H11" i="18"/>
  <c r="H13" i="18"/>
  <c r="H50" i="26"/>
  <c r="H38" i="26"/>
  <c r="H26" i="26"/>
  <c r="M47" i="18"/>
  <c r="J50" i="26" s="1"/>
  <c r="M37" i="18"/>
  <c r="J26" i="26" s="1"/>
  <c r="M42" i="18"/>
  <c r="J38" i="26" s="1"/>
  <c r="F8" i="11" l="1"/>
  <c r="D14" i="26"/>
  <c r="H14" i="18"/>
  <c r="H29" i="18" s="1"/>
  <c r="H47" i="18" s="1"/>
  <c r="J45" i="26" s="1"/>
  <c r="I37" i="18"/>
  <c r="J22" i="26" s="1"/>
  <c r="I47" i="18"/>
  <c r="J46" i="26" s="1"/>
  <c r="G37" i="18"/>
  <c r="J20" i="26" s="1"/>
  <c r="I42" i="18"/>
  <c r="J34" i="26" s="1"/>
  <c r="H22" i="26"/>
  <c r="H46" i="26"/>
  <c r="G42" i="18"/>
  <c r="J32" i="26" s="1"/>
  <c r="G47" i="18"/>
  <c r="J44" i="26" s="1"/>
  <c r="H20" i="26"/>
  <c r="H32" i="26"/>
  <c r="G52" i="17"/>
  <c r="G62" i="17" s="1"/>
  <c r="H23" i="26"/>
  <c r="H35" i="26"/>
  <c r="J47" i="18"/>
  <c r="J47" i="26" s="1"/>
  <c r="H47" i="26"/>
  <c r="F42" i="18"/>
  <c r="J31" i="26" s="1"/>
  <c r="F37" i="18"/>
  <c r="J19" i="26" s="1"/>
  <c r="H31" i="26"/>
  <c r="J37" i="18"/>
  <c r="J23" i="26" s="1"/>
  <c r="H43" i="26"/>
  <c r="E14" i="18"/>
  <c r="E29" i="18" s="1"/>
  <c r="E47" i="18" s="1"/>
  <c r="J42" i="26" s="1"/>
  <c r="F47" i="18"/>
  <c r="J43" i="26" s="1"/>
  <c r="K37" i="18"/>
  <c r="J24" i="26" s="1"/>
  <c r="K47" i="18"/>
  <c r="J48" i="26" s="1"/>
  <c r="H36" i="26"/>
  <c r="F52" i="17"/>
  <c r="H24" i="26"/>
  <c r="H52" i="17"/>
  <c r="H62" i="17" s="1"/>
  <c r="H48" i="26"/>
  <c r="G54" i="11"/>
  <c r="F62" i="17" l="1"/>
  <c r="F81" i="17" s="1"/>
  <c r="H21" i="26"/>
  <c r="H33" i="26"/>
  <c r="H45" i="26"/>
  <c r="H42" i="18"/>
  <c r="J33" i="26" s="1"/>
  <c r="H37" i="18"/>
  <c r="J21" i="26" s="1"/>
  <c r="H81" i="17"/>
  <c r="H83" i="17"/>
  <c r="H85" i="17" s="1"/>
  <c r="G83" i="17"/>
  <c r="G85" i="17" s="1"/>
  <c r="E37" i="18"/>
  <c r="J18" i="26" s="1"/>
  <c r="H30" i="26"/>
  <c r="H42" i="26"/>
  <c r="E42" i="18"/>
  <c r="J30" i="26" s="1"/>
  <c r="H18" i="26"/>
  <c r="G81" i="17"/>
  <c r="N40" i="11"/>
  <c r="N43" i="11" s="1"/>
  <c r="G97" i="11"/>
  <c r="N41" i="11" l="1"/>
  <c r="N42" i="11"/>
  <c r="G114" i="17"/>
  <c r="G115" i="17"/>
  <c r="H115" i="17" s="1"/>
  <c r="J115" i="17" s="1"/>
  <c r="G120" i="17"/>
  <c r="H120" i="17" s="1"/>
  <c r="J120" i="17" s="1"/>
  <c r="G121" i="17"/>
  <c r="H121" i="17" s="1"/>
  <c r="J121" i="17" s="1"/>
  <c r="G117" i="17"/>
  <c r="H117" i="17" s="1"/>
  <c r="J117" i="17" s="1"/>
  <c r="G119" i="17"/>
  <c r="H119" i="17" s="1"/>
  <c r="J119" i="17" s="1"/>
  <c r="G118" i="17"/>
  <c r="H118" i="17" s="1"/>
  <c r="J118" i="17" s="1"/>
  <c r="G116" i="17"/>
  <c r="H116" i="17" s="1"/>
  <c r="J116" i="17" s="1"/>
  <c r="G104" i="17"/>
  <c r="H104" i="17" s="1"/>
  <c r="J104" i="17" s="1"/>
  <c r="G105" i="17"/>
  <c r="H105" i="17" s="1"/>
  <c r="J105" i="17" s="1"/>
  <c r="G103" i="17"/>
  <c r="H103" i="17" s="1"/>
  <c r="J103" i="17" s="1"/>
  <c r="G106" i="17"/>
  <c r="H106" i="17" s="1"/>
  <c r="J106" i="17" s="1"/>
  <c r="G109" i="17"/>
  <c r="H109" i="17" s="1"/>
  <c r="J109" i="17" s="1"/>
  <c r="G110" i="17"/>
  <c r="H110" i="17" s="1"/>
  <c r="J110" i="17" s="1"/>
  <c r="G108" i="17"/>
  <c r="H108" i="17" s="1"/>
  <c r="J108" i="17" s="1"/>
  <c r="G107" i="17"/>
  <c r="H107" i="17" s="1"/>
  <c r="J107" i="17" s="1"/>
  <c r="F83" i="17"/>
  <c r="H90" i="11" l="1"/>
  <c r="N44" i="11"/>
  <c r="H114" i="17"/>
  <c r="J114" i="17" s="1"/>
  <c r="G122" i="17"/>
  <c r="H122" i="17" s="1"/>
  <c r="G111" i="17"/>
  <c r="H111" i="17" s="1"/>
  <c r="F85" i="17"/>
  <c r="I90" i="11" l="1"/>
  <c r="J90" i="11"/>
  <c r="K90" i="11" s="1"/>
  <c r="H91" i="11"/>
  <c r="G98" i="17"/>
  <c r="H98" i="17" s="1"/>
  <c r="G99" i="17"/>
  <c r="H99" i="17" s="1"/>
  <c r="G93" i="17"/>
  <c r="H93" i="17" s="1"/>
  <c r="G94" i="17"/>
  <c r="H94" i="17" s="1"/>
  <c r="G97" i="17"/>
  <c r="H97" i="17" s="1"/>
  <c r="G96" i="17"/>
  <c r="H96" i="17" s="1"/>
  <c r="G95" i="17"/>
  <c r="H95" i="17" s="1"/>
  <c r="G92" i="17"/>
  <c r="H92" i="17" s="1"/>
  <c r="I91" i="11" l="1"/>
  <c r="J91" i="11"/>
  <c r="K91" i="11" s="1"/>
  <c r="E18" i="26"/>
  <c r="E42" i="26"/>
  <c r="E30" i="26"/>
  <c r="E47" i="26"/>
  <c r="E23" i="26"/>
  <c r="E35" i="26"/>
  <c r="E21" i="26"/>
  <c r="E33" i="26"/>
  <c r="E45" i="26"/>
  <c r="L93" i="17"/>
  <c r="E43" i="26"/>
  <c r="E19" i="26"/>
  <c r="E31" i="26"/>
  <c r="E49" i="26"/>
  <c r="E37" i="26"/>
  <c r="E25" i="26"/>
  <c r="E34" i="26"/>
  <c r="E22" i="26"/>
  <c r="E46" i="26"/>
  <c r="J94" i="17"/>
  <c r="G20" i="26" s="1"/>
  <c r="E32" i="26"/>
  <c r="E20" i="26"/>
  <c r="E44" i="26"/>
  <c r="E24" i="26"/>
  <c r="E36" i="26"/>
  <c r="E48" i="26"/>
  <c r="L96" i="17"/>
  <c r="L97" i="17"/>
  <c r="N97" i="17"/>
  <c r="N98" i="17"/>
  <c r="J98" i="17"/>
  <c r="G24" i="26" s="1"/>
  <c r="L98" i="17"/>
  <c r="N94" i="17"/>
  <c r="L94" i="17"/>
  <c r="G100" i="17"/>
  <c r="H100" i="17" s="1"/>
  <c r="N99" i="17"/>
  <c r="G49" i="26" s="1"/>
  <c r="J99" i="17"/>
  <c r="G25" i="26" s="1"/>
  <c r="L99" i="17"/>
  <c r="G37" i="26" s="1"/>
  <c r="L95" i="17"/>
  <c r="J97" i="17"/>
  <c r="N95" i="17"/>
  <c r="N96" i="17"/>
  <c r="N93" i="17"/>
  <c r="J96" i="17"/>
  <c r="J93" i="17"/>
  <c r="J95" i="17"/>
  <c r="G21" i="26" s="1"/>
  <c r="J92" i="17"/>
  <c r="G18" i="26" s="1"/>
  <c r="N92" i="17"/>
  <c r="G42" i="26" s="1"/>
  <c r="L92" i="17"/>
  <c r="G30" i="26" s="1"/>
  <c r="G66" i="11"/>
  <c r="G56" i="11"/>
  <c r="G93" i="11"/>
  <c r="G83" i="11"/>
  <c r="D6" i="26" l="1"/>
  <c r="G35" i="26"/>
  <c r="G22" i="26"/>
  <c r="G43" i="26"/>
  <c r="G47" i="26"/>
  <c r="G23" i="26"/>
  <c r="G31" i="26"/>
  <c r="G33" i="26"/>
  <c r="G48" i="26"/>
  <c r="G46" i="26"/>
  <c r="G32" i="26"/>
  <c r="G34" i="26"/>
  <c r="G45" i="26"/>
  <c r="G44" i="26"/>
  <c r="D13" i="26"/>
  <c r="G19" i="26"/>
  <c r="G36" i="26"/>
  <c r="G64" i="11"/>
  <c r="G82" i="11"/>
  <c r="G85" i="11"/>
  <c r="G67" i="11"/>
  <c r="G74" i="11"/>
  <c r="G61" i="11"/>
  <c r="G77" i="11"/>
  <c r="G90" i="11"/>
  <c r="G94" i="11"/>
  <c r="G69" i="11"/>
  <c r="G62" i="11"/>
  <c r="G91" i="11"/>
  <c r="G75" i="11"/>
  <c r="H40" i="11" l="1"/>
  <c r="E40" i="11"/>
  <c r="E43" i="11" s="1"/>
  <c r="D12" i="26"/>
  <c r="D8" i="26"/>
  <c r="D11" i="26"/>
  <c r="D7" i="26"/>
  <c r="D10" i="26"/>
  <c r="D9" i="26"/>
  <c r="H43" i="11" l="1"/>
  <c r="H44" i="11" s="1"/>
  <c r="H42" i="11"/>
  <c r="H41" i="11"/>
  <c r="L40" i="11"/>
  <c r="L43" i="11" s="1"/>
  <c r="J40" i="11"/>
  <c r="J43" i="11" s="1"/>
  <c r="M40" i="11"/>
  <c r="K40" i="11"/>
  <c r="E42" i="11"/>
  <c r="E41" i="11"/>
  <c r="H54" i="11"/>
  <c r="I40" i="11"/>
  <c r="I43" i="11" s="1"/>
  <c r="G40" i="11"/>
  <c r="G53" i="11"/>
  <c r="G99" i="11" s="1"/>
  <c r="E11" i="11" s="1"/>
  <c r="H66" i="11" l="1"/>
  <c r="J66" i="11" s="1"/>
  <c r="K66" i="11" s="1"/>
  <c r="G43" i="11"/>
  <c r="G44" i="11" s="1"/>
  <c r="K42" i="11"/>
  <c r="K43" i="11"/>
  <c r="H77" i="11" s="1"/>
  <c r="M41" i="11"/>
  <c r="M43" i="11"/>
  <c r="H85" i="11" s="1"/>
  <c r="L41" i="11"/>
  <c r="F40" i="11"/>
  <c r="G42" i="11"/>
  <c r="M42" i="11"/>
  <c r="L42" i="11"/>
  <c r="J41" i="11"/>
  <c r="K41" i="11"/>
  <c r="I42" i="11"/>
  <c r="G41" i="11"/>
  <c r="O40" i="11"/>
  <c r="I41" i="11"/>
  <c r="J42" i="11"/>
  <c r="E44" i="11"/>
  <c r="H53" i="11"/>
  <c r="J53" i="11" s="1"/>
  <c r="K53" i="11" s="1"/>
  <c r="I54" i="11"/>
  <c r="J54" i="11"/>
  <c r="K54" i="11" s="1"/>
  <c r="H69" i="11"/>
  <c r="I44" i="11"/>
  <c r="H82" i="11"/>
  <c r="L44" i="11"/>
  <c r="H74" i="11"/>
  <c r="J44" i="11"/>
  <c r="I66" i="11" l="1"/>
  <c r="H67" i="11"/>
  <c r="I67" i="11" s="1"/>
  <c r="H61" i="11"/>
  <c r="J61" i="11" s="1"/>
  <c r="K61" i="11" s="1"/>
  <c r="O42" i="11"/>
  <c r="O43" i="11"/>
  <c r="O44" i="11" s="1"/>
  <c r="F43" i="11"/>
  <c r="F44" i="11" s="1"/>
  <c r="O41" i="11"/>
  <c r="F41" i="11"/>
  <c r="F42" i="11"/>
  <c r="M44" i="11"/>
  <c r="K44" i="11"/>
  <c r="I53" i="11"/>
  <c r="I77" i="11"/>
  <c r="J77" i="11"/>
  <c r="K77" i="11" s="1"/>
  <c r="I74" i="11"/>
  <c r="J74" i="11"/>
  <c r="K74" i="11" s="1"/>
  <c r="I82" i="11"/>
  <c r="J82" i="11"/>
  <c r="K82" i="11" s="1"/>
  <c r="I85" i="11"/>
  <c r="J85" i="11"/>
  <c r="K85" i="11" s="1"/>
  <c r="I69" i="11"/>
  <c r="J69" i="11"/>
  <c r="K69" i="11" s="1"/>
  <c r="H83" i="11"/>
  <c r="H71" i="11"/>
  <c r="J71" i="11" s="1"/>
  <c r="K71" i="11" s="1"/>
  <c r="H88" i="11"/>
  <c r="J88" i="11" s="1"/>
  <c r="K88" i="11" s="1"/>
  <c r="H87" i="11"/>
  <c r="H72" i="11"/>
  <c r="H86" i="11"/>
  <c r="H75" i="11"/>
  <c r="H70" i="11"/>
  <c r="H78" i="11"/>
  <c r="J78" i="11" s="1"/>
  <c r="K78" i="11" s="1"/>
  <c r="H80" i="11"/>
  <c r="J80" i="11" s="1"/>
  <c r="K80" i="11" s="1"/>
  <c r="H79" i="11"/>
  <c r="J79" i="11" s="1"/>
  <c r="K79" i="11" s="1"/>
  <c r="J67" i="11" l="1"/>
  <c r="K67" i="11" s="1"/>
  <c r="H56" i="11"/>
  <c r="H58" i="11" s="1"/>
  <c r="H63" i="11"/>
  <c r="J63" i="11" s="1"/>
  <c r="K63" i="11" s="1"/>
  <c r="H62" i="11"/>
  <c r="J62" i="11" s="1"/>
  <c r="K62" i="11" s="1"/>
  <c r="H64" i="11"/>
  <c r="J64" i="11" s="1"/>
  <c r="K64" i="11" s="1"/>
  <c r="I61" i="11"/>
  <c r="P43" i="11"/>
  <c r="P44" i="11" s="1"/>
  <c r="H93" i="11"/>
  <c r="I93" i="11" s="1"/>
  <c r="I70" i="11"/>
  <c r="J70" i="11"/>
  <c r="K70" i="11" s="1"/>
  <c r="I86" i="11"/>
  <c r="J86" i="11"/>
  <c r="K86" i="11" s="1"/>
  <c r="I72" i="11"/>
  <c r="J72" i="11"/>
  <c r="K72" i="11" s="1"/>
  <c r="I87" i="11"/>
  <c r="J87" i="11"/>
  <c r="K87" i="11" s="1"/>
  <c r="I83" i="11"/>
  <c r="J83" i="11"/>
  <c r="K83" i="11" s="1"/>
  <c r="I75" i="11"/>
  <c r="J75" i="11"/>
  <c r="K75" i="11" s="1"/>
  <c r="I78" i="11"/>
  <c r="I88" i="11"/>
  <c r="I71" i="11"/>
  <c r="I79" i="11"/>
  <c r="I80" i="11"/>
  <c r="J56" i="11" l="1"/>
  <c r="K56" i="11" s="1"/>
  <c r="I56" i="11"/>
  <c r="H59" i="11"/>
  <c r="I59" i="11" s="1"/>
  <c r="H57" i="11"/>
  <c r="I57" i="11" s="1"/>
  <c r="I64" i="11"/>
  <c r="I62" i="11"/>
  <c r="I63" i="11"/>
  <c r="H96" i="11"/>
  <c r="H97" i="11"/>
  <c r="I97" i="11" s="1"/>
  <c r="J93" i="11"/>
  <c r="K93" i="11" s="1"/>
  <c r="H94" i="11"/>
  <c r="I58" i="11"/>
  <c r="J58" i="11"/>
  <c r="K58" i="11" s="1"/>
  <c r="J59" i="11" l="1"/>
  <c r="K59" i="11" s="1"/>
  <c r="J57" i="11"/>
  <c r="K57" i="11" s="1"/>
  <c r="J97" i="11"/>
  <c r="K97" i="11" s="1"/>
  <c r="J96" i="11"/>
  <c r="K96" i="11" s="1"/>
  <c r="I96" i="11"/>
  <c r="J94" i="11"/>
  <c r="K94" i="11" s="1"/>
  <c r="I94" i="11"/>
  <c r="K99" i="11" l="1"/>
  <c r="F12" i="11" s="1"/>
  <c r="F19" i="11" s="1"/>
  <c r="I99" i="11"/>
  <c r="F11" i="11" s="1"/>
  <c r="F13" i="11" s="1"/>
  <c r="F14" i="11" l="1"/>
  <c r="F15" i="11" s="1"/>
  <c r="I113" i="11" l="1"/>
  <c r="F9" i="11" l="1"/>
  <c r="F20" i="11" s="1"/>
  <c r="E19" i="11"/>
  <c r="G113" i="11"/>
  <c r="E29"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<sst xmlns="http://schemas.openxmlformats.org/spreadsheetml/2006/main" count="683" uniqueCount="405">
  <si>
    <t>TAB</t>
  </si>
  <si>
    <t>TAB PURPOSE</t>
  </si>
  <si>
    <t>INPUTS THAT CAN BE CHANGED</t>
  </si>
  <si>
    <t>Statewide Cost Summary</t>
  </si>
  <si>
    <t xml:space="preserve">Offers a comprehensive overview of the financial impact of implementing new targeted billable rates and expanding services across the state. </t>
  </si>
  <si>
    <t>% of modeled cost for direct services rates, % increase in services, underserved areas enhancement, CFC staffing pattern</t>
  </si>
  <si>
    <t>Billable Rate Summary</t>
  </si>
  <si>
    <t>Calculates weighted averages of calculated rates per service by specialty, covering both agency-affiliated and self-employed practitioners (by onsite, offsite, and virtual services).</t>
  </si>
  <si>
    <t>N/A</t>
  </si>
  <si>
    <t>Wage Assumptions</t>
  </si>
  <si>
    <t>This tab contains the hourly wage scales for the model, offering three options: "BLS Differentiated Wages" based on 2023 Illinois BLS wages, "Living Wages" calculated from the 2024 MIT Living Wage Calculator, and "Custom Wages," which users can edit. A toggle switch enables switching between these wage scales in the model. This tab also allows users to adjust wages for CFC personnel.</t>
  </si>
  <si>
    <t>Agency, Self-Employed, CFC Wages</t>
  </si>
  <si>
    <t xml:space="preserve">Rate Calculators </t>
  </si>
  <si>
    <t>Agency</t>
  </si>
  <si>
    <t>Provides a detailed cost breakdown for operating an agency that delivers early intervention services. It calculates individual hourly costs for each specialty and determines targeted billable rates based on surveyed billable time (by onsite, offsite, and virtual services)</t>
  </si>
  <si>
    <t>Typical agency size; Agency billable percents by specialty</t>
  </si>
  <si>
    <t>Self-Employed</t>
  </si>
  <si>
    <t>Similar to the Agency tab, this section details the cost breakdown for self-employed early intervention practitioners. It includes calculations for individual hourly costs across specialties and targeted billable rates (by onsite, offsite, and virtual services).</t>
  </si>
  <si>
    <t>Self-employed billable percents by specialty</t>
  </si>
  <si>
    <t>CFC</t>
  </si>
  <si>
    <t>The cost breakdown of a CFC based on a compilation of CFC budget data.</t>
  </si>
  <si>
    <t xml:space="preserve">CFC caseload size, incentive payments, indirect line </t>
  </si>
  <si>
    <t xml:space="preserve">Infrastructure </t>
  </si>
  <si>
    <t>Provides a summary of current costs and additional needed costs for EI infrastructure organizations (EITP, Provider Connections, CBO, EITAM, EI Clearinghouse) based on interviews with some program leaders.</t>
  </si>
  <si>
    <t xml:space="preserve">Cost of living adjustments, staffing assumptions </t>
  </si>
  <si>
    <t>2024 IL Early Intervention</t>
  </si>
  <si>
    <t>Summary - Statewide Cost of Services</t>
  </si>
  <si>
    <t>DRAFT - SUBJECT TO CHANGE</t>
  </si>
  <si>
    <t xml:space="preserve">Total Statewide Cost </t>
  </si>
  <si>
    <t>Input</t>
  </si>
  <si>
    <t xml:space="preserve">CFC Grants </t>
  </si>
  <si>
    <t>Current</t>
  </si>
  <si>
    <t>Future Estimated Cost</t>
  </si>
  <si>
    <t xml:space="preserve">Increase in # Services Provided </t>
  </si>
  <si>
    <t>Total Grant Amounts (based on FY24 Data)</t>
  </si>
  <si>
    <t xml:space="preserve">Difference </t>
  </si>
  <si>
    <t>Direct Service</t>
  </si>
  <si>
    <t xml:space="preserve">Cost of Desired Rates (Same # Services, based on FY24) </t>
  </si>
  <si>
    <t>Cost of Desired Rates + Increased Services</t>
  </si>
  <si>
    <t xml:space="preserve">Difference from rate increase </t>
  </si>
  <si>
    <t xml:space="preserve">Difference from services increase </t>
  </si>
  <si>
    <t xml:space="preserve">Total Direct Service Difference </t>
  </si>
  <si>
    <t xml:space="preserve">Infrastructure Costs </t>
  </si>
  <si>
    <t>Infrastructure Cost (based on FY24 data)</t>
  </si>
  <si>
    <t>Total Cost</t>
  </si>
  <si>
    <t xml:space="preserve">Total Difference </t>
  </si>
  <si>
    <t xml:space="preserve">Staffing Pattern </t>
  </si>
  <si>
    <t>Current Ratio</t>
  </si>
  <si>
    <t xml:space="preserve">Service Coordinator Hourly Pay </t>
  </si>
  <si>
    <t xml:space="preserve">Average Grant Cost </t>
  </si>
  <si>
    <t xml:space="preserve">Total Grant Cost </t>
  </si>
  <si>
    <t>Source</t>
  </si>
  <si>
    <t xml:space="preserve">Direct Services Cost Increase </t>
  </si>
  <si>
    <t xml:space="preserve">Percentage of Modeled Cost </t>
  </si>
  <si>
    <t>Specialty</t>
  </si>
  <si>
    <t>Audiology</t>
  </si>
  <si>
    <t>Aural Rehab</t>
  </si>
  <si>
    <t>Developmental Therapy</t>
  </si>
  <si>
    <t>Nutritionist</t>
  </si>
  <si>
    <t>Occupational Therapy</t>
  </si>
  <si>
    <t>Physical Therapy</t>
  </si>
  <si>
    <t>Psychology</t>
  </si>
  <si>
    <t>Social Work</t>
  </si>
  <si>
    <t>Speech Therapy</t>
  </si>
  <si>
    <t>Translation / Interpretation</t>
  </si>
  <si>
    <t>Vision</t>
  </si>
  <si>
    <t xml:space="preserve">Medical Diagnostics </t>
  </si>
  <si>
    <t xml:space="preserve">Current Rate Per 1 Hour Service (Offsite) </t>
  </si>
  <si>
    <t>Modeled Cost Rate per 1 Hour Service</t>
  </si>
  <si>
    <t xml:space="preserve">Current Rate as % of Modeled Cost </t>
  </si>
  <si>
    <t>Modeled Cost as % Change Over Current Rates (Offsite)</t>
  </si>
  <si>
    <t>Increased Rate Per Hour of Service</t>
  </si>
  <si>
    <t xml:space="preserve">Increased Rate as Percentage of Current Rate (Offsite) </t>
  </si>
  <si>
    <t xml:space="preserve">*Set equal to OT rate </t>
  </si>
  <si>
    <t>*Set equal to DT rate</t>
  </si>
  <si>
    <t>Current Rates are updated to reflect FY26 Rate Increases</t>
  </si>
  <si>
    <t>Standard Services: Evaluation, IFSP, and Individual Services Combined</t>
  </si>
  <si>
    <t>CURRENT RATES</t>
  </si>
  <si>
    <t>DESIRED RATES</t>
  </si>
  <si>
    <t xml:space="preserve">DESIRED RATES + INCREASED SERVICES </t>
  </si>
  <si>
    <t>Estimated Annual # of Services</t>
  </si>
  <si>
    <t>Rate Per 1 Hr Service</t>
  </si>
  <si>
    <t xml:space="preserve">Total Cost </t>
  </si>
  <si>
    <t>Offsite - Individual</t>
  </si>
  <si>
    <t>Onsite - Individual</t>
  </si>
  <si>
    <t>Offsite - Group</t>
  </si>
  <si>
    <t>Onsite - Group</t>
  </si>
  <si>
    <t>Nutrition</t>
  </si>
  <si>
    <t>Translation/Interpretation</t>
  </si>
  <si>
    <t>Medical Diagnostic</t>
  </si>
  <si>
    <t xml:space="preserve">Direct Service Total </t>
  </si>
  <si>
    <t>SUMMARY</t>
  </si>
  <si>
    <t>TOTAL</t>
  </si>
  <si>
    <t>EITP</t>
  </si>
  <si>
    <t>Provider Connections</t>
  </si>
  <si>
    <t>CBO</t>
  </si>
  <si>
    <t>Clearinghouse</t>
  </si>
  <si>
    <t xml:space="preserve">EITAM </t>
  </si>
  <si>
    <t>Current Infrastructure Cost</t>
  </si>
  <si>
    <t>Increased Infrastructure Cost</t>
  </si>
  <si>
    <t>Difference</t>
  </si>
  <si>
    <t>Added staff</t>
  </si>
  <si>
    <t>Cost of living adjustment  - existing budget</t>
  </si>
  <si>
    <t xml:space="preserve">Infrastructure as a Percentage of Total Spending </t>
  </si>
  <si>
    <t>Summary - Hourly Costs and Billable Rates</t>
  </si>
  <si>
    <t>WEIGHTED AVERAGE: Calculated Rates Per Service</t>
  </si>
  <si>
    <t xml:space="preserve">Distribution of Claims </t>
  </si>
  <si>
    <t>Interpretation/Translation</t>
  </si>
  <si>
    <t>Agency, Offsite</t>
  </si>
  <si>
    <t>Offsite</t>
  </si>
  <si>
    <t>Agency, Onsite</t>
  </si>
  <si>
    <t>Onsite</t>
  </si>
  <si>
    <t>Agency, Virtual</t>
  </si>
  <si>
    <t>Remote</t>
  </si>
  <si>
    <t>Self-Employed, Offsite</t>
  </si>
  <si>
    <t>Self-Employed, Onsite</t>
  </si>
  <si>
    <t xml:space="preserve">Self-Employed, Virtual </t>
  </si>
  <si>
    <t>AGENCY</t>
  </si>
  <si>
    <t>SELF EMPLOYED</t>
  </si>
  <si>
    <t>OFFSITE - IN PERSON</t>
  </si>
  <si>
    <t>CURRENT Billable Rate</t>
  </si>
  <si>
    <t>CALCULATED Hourly Cost</t>
  </si>
  <si>
    <t>Billable %</t>
  </si>
  <si>
    <t>CALCULATED Rate Per Service</t>
  </si>
  <si>
    <t>SELF-EMPLOYED</t>
  </si>
  <si>
    <t>ONSITE - CLINIC</t>
  </si>
  <si>
    <t>VIRTUAL - LVV</t>
  </si>
  <si>
    <t>Wages</t>
  </si>
  <si>
    <r>
      <t xml:space="preserve">WAGE COST MODEL ASSUMPTIONS: </t>
    </r>
    <r>
      <rPr>
        <b/>
        <sz val="11"/>
        <color theme="5" tint="0.39997558519241921"/>
        <rFont val="Calibri"/>
        <family val="2"/>
        <scheme val="minor"/>
      </rPr>
      <t>DIRECT SERVICE</t>
    </r>
  </si>
  <si>
    <r>
      <rPr>
        <b/>
        <sz val="11"/>
        <color theme="5" tint="-0.249977111117893"/>
        <rFont val="Calibri"/>
        <family val="2"/>
        <scheme val="minor"/>
      </rPr>
      <t>Direct Service</t>
    </r>
    <r>
      <rPr>
        <b/>
        <sz val="11"/>
        <color theme="1"/>
        <rFont val="Calibri"/>
        <family val="2"/>
        <scheme val="minor"/>
      </rPr>
      <t xml:space="preserve"> Cost Model - WAGE TOGGLE</t>
    </r>
  </si>
  <si>
    <t>BLS Differentiated</t>
  </si>
  <si>
    <t>&lt;&lt; Direct Service Wage Scale</t>
  </si>
  <si>
    <t>1 Adult</t>
  </si>
  <si>
    <t>&lt;&lt; Options for Living Wage</t>
  </si>
  <si>
    <t>1 child</t>
  </si>
  <si>
    <t>Direct Service Roles</t>
  </si>
  <si>
    <t>Education Level</t>
  </si>
  <si>
    <t>Living Wage</t>
  </si>
  <si>
    <t>Custom</t>
  </si>
  <si>
    <t>BLS Differentiated (BLS)</t>
  </si>
  <si>
    <t xml:space="preserve">Education Level (ACS) </t>
  </si>
  <si>
    <t>Living Wage (MIT)</t>
  </si>
  <si>
    <t>Audiologist</t>
  </si>
  <si>
    <t>Developmental Therapist</t>
  </si>
  <si>
    <t>Occupational Therapist</t>
  </si>
  <si>
    <t>Physical Therapist</t>
  </si>
  <si>
    <t>Psychologist</t>
  </si>
  <si>
    <t>Social Worker</t>
  </si>
  <si>
    <t>Speech Language Pathologist</t>
  </si>
  <si>
    <t>Interpreter / Translator</t>
  </si>
  <si>
    <r>
      <t xml:space="preserve">Indirect Service Roles </t>
    </r>
    <r>
      <rPr>
        <b/>
        <i/>
        <sz val="11"/>
        <color theme="1"/>
        <rFont val="Calibri"/>
        <family val="2"/>
        <scheme val="minor"/>
      </rPr>
      <t>(for agencies only)</t>
    </r>
  </si>
  <si>
    <t>Director/Assistant Director</t>
  </si>
  <si>
    <t>Administrative Assistant</t>
  </si>
  <si>
    <t>Billing Specialist/Manager</t>
  </si>
  <si>
    <t>% Increase for Each Role Relative to the Average Direct Service Wage</t>
  </si>
  <si>
    <t xml:space="preserve">Calculated from agencies' survey responses </t>
  </si>
  <si>
    <r>
      <t xml:space="preserve">WAGE COST MODEL ASSUMPTIONS: </t>
    </r>
    <r>
      <rPr>
        <b/>
        <sz val="11"/>
        <color theme="5" tint="0.39997558519241921"/>
        <rFont val="Calibri"/>
        <family val="2"/>
        <scheme val="minor"/>
      </rPr>
      <t>CFCs</t>
    </r>
  </si>
  <si>
    <t>Role</t>
  </si>
  <si>
    <t xml:space="preserve">Program Manager/Director </t>
  </si>
  <si>
    <t>Fiscal Manager</t>
  </si>
  <si>
    <t>LIC Coordinator</t>
  </si>
  <si>
    <t>Administrative and Office Support</t>
  </si>
  <si>
    <t>Service Coordinator</t>
  </si>
  <si>
    <t>Lead Service Coordinator</t>
  </si>
  <si>
    <t>Intake/Transition Coordinator</t>
  </si>
  <si>
    <t>Social Emotional Consultant*</t>
  </si>
  <si>
    <t>Developmental Pediatric Consultant</t>
  </si>
  <si>
    <t>Assistive Technology Specialist</t>
  </si>
  <si>
    <t xml:space="preserve">Parent Liaison </t>
  </si>
  <si>
    <t xml:space="preserve">Other Specialized Support </t>
  </si>
  <si>
    <t xml:space="preserve">*Social Emotional/IECMH consultant: Set equal to home visiting equivalent position ($150/hr) </t>
  </si>
  <si>
    <t>% Increase for Each Role Relative to Service Coordinator Wage</t>
  </si>
  <si>
    <t xml:space="preserve">$41.25 is average BLS wage in Illinois for Accountants and Auditors </t>
  </si>
  <si>
    <t>Set equal to Service Coordinator</t>
  </si>
  <si>
    <t>↓FACT BASE↓</t>
  </si>
  <si>
    <t xml:space="preserve">Compensation by Education Level </t>
  </si>
  <si>
    <t>Illinois Annual Median</t>
  </si>
  <si>
    <t>Illinois Hourly Median</t>
  </si>
  <si>
    <t>High school graduate</t>
  </si>
  <si>
    <t>Source: Census American Community Survey, 2022</t>
  </si>
  <si>
    <t>Some college or associate's degree</t>
  </si>
  <si>
    <t>Bachelor's degree</t>
  </si>
  <si>
    <t xml:space="preserve">Graduate or professional degree </t>
  </si>
  <si>
    <t>2024 MIT Living Wage Calculation for Illinois</t>
  </si>
  <si>
    <t>0 Children</t>
  </si>
  <si>
    <t>1 Child</t>
  </si>
  <si>
    <t>2 Children</t>
  </si>
  <si>
    <t>3 Children</t>
  </si>
  <si>
    <t>2 Adults (1 Working)</t>
  </si>
  <si>
    <t>2 Adults (Both Working)</t>
  </si>
  <si>
    <t>Rate Comparison</t>
  </si>
  <si>
    <t>2023 BLS (Avg)</t>
  </si>
  <si>
    <t>2023 CPS (Avg)</t>
  </si>
  <si>
    <t>RSP Manager for Speech &amp; Audiology</t>
  </si>
  <si>
    <t>Speech-Language Pathologist</t>
  </si>
  <si>
    <t>Interpreter</t>
  </si>
  <si>
    <t>Translator</t>
  </si>
  <si>
    <t>2023 BLS Wages</t>
  </si>
  <si>
    <t>AVG Hourly</t>
  </si>
  <si>
    <t>AVG Annual</t>
  </si>
  <si>
    <t>Notes</t>
  </si>
  <si>
    <t>2023 Illinois Data</t>
  </si>
  <si>
    <t>Special Education Teachers, Kindergarten and Elementary School</t>
  </si>
  <si>
    <t>Developmental Therapist: Used Elementary SPED Teacher</t>
  </si>
  <si>
    <t>Clinical and Counseling Psychologists</t>
  </si>
  <si>
    <t>Child, Family, and School Social Workers</t>
  </si>
  <si>
    <t>Interpreters and Translators</t>
  </si>
  <si>
    <t>Medical Secretaries and Administrative Assistants</t>
  </si>
  <si>
    <t>Billing and Posting Clerks</t>
  </si>
  <si>
    <t>Chicago Public Schools Wages</t>
  </si>
  <si>
    <t>Min FT Salary</t>
  </si>
  <si>
    <t>Average FT Salary</t>
  </si>
  <si>
    <t>Minimum Rate/Hour</t>
  </si>
  <si>
    <t>Average Rate/Hour</t>
  </si>
  <si>
    <t>Sept 2023 Data - CPS Employee Position Files</t>
  </si>
  <si>
    <t>RSP Occs &amp; Phys Therapy</t>
  </si>
  <si>
    <t>Bilingual Translator</t>
  </si>
  <si>
    <t>Special Education Teacher</t>
  </si>
  <si>
    <t xml:space="preserve">Current CFC Salaries from Annual Grant/Budget Reporting </t>
  </si>
  <si>
    <t>Average Salary</t>
  </si>
  <si>
    <t>Count</t>
  </si>
  <si>
    <t>% of Data</t>
  </si>
  <si>
    <t>Relative to Service Coordinator</t>
  </si>
  <si>
    <t xml:space="preserve">Notes </t>
  </si>
  <si>
    <t xml:space="preserve">As reported in 2023 CFC budgets </t>
  </si>
  <si>
    <t>Administrative Support</t>
  </si>
  <si>
    <t xml:space="preserve">Salaries are annualized </t>
  </si>
  <si>
    <t xml:space="preserve">Program Management </t>
  </si>
  <si>
    <t xml:space="preserve">Does not include incentive pay </t>
  </si>
  <si>
    <t>Program Director</t>
  </si>
  <si>
    <t xml:space="preserve">Does not capture every role in CFCs </t>
  </si>
  <si>
    <t>Program Manager</t>
  </si>
  <si>
    <t>Assistant Director/Program Manager</t>
  </si>
  <si>
    <t xml:space="preserve">Weighted Average </t>
  </si>
  <si>
    <t>Service Coordination &amp; Family Support</t>
  </si>
  <si>
    <t>Service Coordinator - Assistant</t>
  </si>
  <si>
    <t>Service Coordinator - Trainer</t>
  </si>
  <si>
    <t xml:space="preserve">Weighted Average of SCs (excluding Lead) </t>
  </si>
  <si>
    <t>Service Coordinator - Lead</t>
  </si>
  <si>
    <t>Parent Liaison</t>
  </si>
  <si>
    <t xml:space="preserve">Specialized Support and Consultation </t>
  </si>
  <si>
    <t>Social Emotional Consultant</t>
  </si>
  <si>
    <t>Other Specialized Support</t>
  </si>
  <si>
    <t>Total</t>
  </si>
  <si>
    <t>This tab is intentionally blank</t>
  </si>
  <si>
    <t>Rate Setting Calculator - Self-Employed</t>
  </si>
  <si>
    <t>HOURLY COST CALCULATION</t>
  </si>
  <si>
    <t>ANNUAL FACTOR</t>
  </si>
  <si>
    <t>HOURLY COSTS</t>
  </si>
  <si>
    <t>Full-time Hours per year</t>
  </si>
  <si>
    <t>PERSONNEL COSTS</t>
  </si>
  <si>
    <r>
      <t>Salary</t>
    </r>
    <r>
      <rPr>
        <i/>
        <sz val="11"/>
        <color theme="1"/>
        <rFont val="Calibri"/>
        <family val="2"/>
        <scheme val="minor"/>
      </rPr>
      <t xml:space="preserve"> (Edit on Wages tab) </t>
    </r>
  </si>
  <si>
    <t>Self-Employment Tax (Federal)</t>
  </si>
  <si>
    <t>Health Insurance</t>
  </si>
  <si>
    <t>Retirement Contributions</t>
  </si>
  <si>
    <t>Total Personnel Costs per Hour</t>
  </si>
  <si>
    <t>NON-PERSONNEL COSTS</t>
  </si>
  <si>
    <t>Facilities/Office Space</t>
  </si>
  <si>
    <t>Technology and Software</t>
  </si>
  <si>
    <t>Transportation</t>
  </si>
  <si>
    <t>Service-Related Supplies</t>
  </si>
  <si>
    <t>Non-Service-Related Supplies</t>
  </si>
  <si>
    <t>Marketing and Advertising</t>
  </si>
  <si>
    <t>Administrative, Legal, and Financial Services</t>
  </si>
  <si>
    <t>Insurance</t>
  </si>
  <si>
    <t>Professional Licensing Fees</t>
  </si>
  <si>
    <t>Professional Development</t>
  </si>
  <si>
    <t>Total Non-Personnel Costs per Hour</t>
  </si>
  <si>
    <t>TOTAL HOURLY COST</t>
  </si>
  <si>
    <t>BILLABLE RATE CALCULATION</t>
  </si>
  <si>
    <t>OFFSITE HOURS (In Person)</t>
  </si>
  <si>
    <t>Billable per week</t>
  </si>
  <si>
    <t>Non-billable per week</t>
  </si>
  <si>
    <t>Offsite Rate per Service Hour</t>
  </si>
  <si>
    <t>ONSITE HOURS (Clinic)</t>
  </si>
  <si>
    <t>Onsite Rate per Service Hour</t>
  </si>
  <si>
    <t>VIRTUAL HOURS (LVV)</t>
  </si>
  <si>
    <t>Virtual Rate per Service Hour</t>
  </si>
  <si>
    <t>Rate Setting Calculator - Agency</t>
  </si>
  <si>
    <t>Sample Agency 1</t>
  </si>
  <si>
    <t>Sample Agency 2</t>
  </si>
  <si>
    <t>Sample Agency 3</t>
  </si>
  <si>
    <t>AGENCY ANNUAL COSTS</t>
  </si>
  <si>
    <t>FTE ASSUMPTIONS</t>
  </si>
  <si>
    <t>Indirect Service FTE</t>
  </si>
  <si>
    <t>Ratio</t>
  </si>
  <si>
    <t>Ratios were calculated using average staffing data reported by agencies in the cost survey</t>
  </si>
  <si>
    <t>Total Indirect Service - FTE</t>
  </si>
  <si>
    <t>Direct Service FTE</t>
  </si>
  <si>
    <t>Total Direct Service - FTE</t>
  </si>
  <si>
    <t>SALARIES</t>
  </si>
  <si>
    <t>Indirect Service</t>
  </si>
  <si>
    <t>Average salaries provided in survey data</t>
  </si>
  <si>
    <t>Total Indirect Service - Salaries (Hourly)</t>
  </si>
  <si>
    <t>Total Direct Service - Salaries (Hourly)</t>
  </si>
  <si>
    <t>BENEFITS</t>
  </si>
  <si>
    <t>FICA</t>
  </si>
  <si>
    <t>Unemployment</t>
  </si>
  <si>
    <t>Workers Comp</t>
  </si>
  <si>
    <t>Retirement/Pension</t>
  </si>
  <si>
    <t>Total Indirect Service - Benefits (Hourly)</t>
  </si>
  <si>
    <t>Total Direct Service - Benefits (Hourly)</t>
  </si>
  <si>
    <t>TOTAL HOURLY PERSONNEL COST - INDIRECT SERVICES</t>
  </si>
  <si>
    <t>TOTAL HOURLY PERSONNEL COST - DIRECT SERVICES</t>
  </si>
  <si>
    <t>NON-PERSONNEL</t>
  </si>
  <si>
    <t>Facilities - Rent/Mortgage/Property Taxes</t>
  </si>
  <si>
    <t>Median costs reported in cost survey</t>
  </si>
  <si>
    <t>Utilites - Electric, Water, Heating, Internet</t>
  </si>
  <si>
    <t>Maintenance and Repairs</t>
  </si>
  <si>
    <t>Training &amp; Professional Development</t>
  </si>
  <si>
    <t>Service Related Supplies</t>
  </si>
  <si>
    <t>Non-Service Related Supplies</t>
  </si>
  <si>
    <t>Admin, Legal, and Financial Services</t>
  </si>
  <si>
    <t>Total Hourly Non-Personnel Costs</t>
  </si>
  <si>
    <t>TOTAL HOURLY NON-PERSONNEL COSTS</t>
  </si>
  <si>
    <t>TOTAL HOURLY AGENCY COSTS</t>
  </si>
  <si>
    <t>Hourly Indirect Personnel Cost per Direct Service FTE</t>
  </si>
  <si>
    <t>Hourly Non-Personnel Costs per Direct Service FTE</t>
  </si>
  <si>
    <t>Total Hourly Additional Cost per Direct Service FTE</t>
  </si>
  <si>
    <t>OFFSITE</t>
  </si>
  <si>
    <t>ONSITE</t>
  </si>
  <si>
    <t>VIRTUAL</t>
  </si>
  <si>
    <t>SAMPLE AGENCY 1</t>
  </si>
  <si>
    <t>Personnel Only
(Total)</t>
  </si>
  <si>
    <t>Total with Allocations</t>
  </si>
  <si>
    <t>Agency Hourly Cost/FTE</t>
  </si>
  <si>
    <t>% Billable Time</t>
  </si>
  <si>
    <t>Offsite
Billable Rate</t>
  </si>
  <si>
    <t>Onsite
Billable Rate</t>
  </si>
  <si>
    <t>Virtual
Billable Rate</t>
  </si>
  <si>
    <t>CHECK &gt;&gt;</t>
  </si>
  <si>
    <t>SAMPLE AGENCY 2</t>
  </si>
  <si>
    <t>SAMPLE AGENCY 3</t>
  </si>
  <si>
    <t>Rate Setting Calculator - CFC</t>
  </si>
  <si>
    <t>MODEL ASSUMPTIONS</t>
  </si>
  <si>
    <t>SAMPLE CFC COSTS</t>
  </si>
  <si>
    <t>CALCULATOR</t>
  </si>
  <si>
    <t>CFC ANNUAL COSTS</t>
  </si>
  <si>
    <t xml:space="preserve">CASELOAD (Active IFSPs) </t>
  </si>
  <si>
    <t>Statewide average: 847</t>
  </si>
  <si>
    <t>Average FTE per caseload (847) -- FY22</t>
  </si>
  <si>
    <t>Current FTE</t>
  </si>
  <si>
    <t>Desired FTE</t>
  </si>
  <si>
    <t>Desired Ratio</t>
  </si>
  <si>
    <t>Total Indirect Service - Salaries</t>
  </si>
  <si>
    <t>Total Direct Service - Salaries</t>
  </si>
  <si>
    <t xml:space="preserve">Incentive Payments </t>
  </si>
  <si>
    <t xml:space="preserve">Eligibility for Incentive Payments </t>
  </si>
  <si>
    <t>All Staff</t>
  </si>
  <si>
    <t>TOTAL SALARIES AND BONUSES</t>
  </si>
  <si>
    <t>BENEFITS/OTHER PERSONNEL</t>
  </si>
  <si>
    <t>Per Person - see CFC Personnel Tab for calculation</t>
  </si>
  <si>
    <t xml:space="preserve">Average in grant reporting: 5% </t>
  </si>
  <si>
    <t xml:space="preserve">Average in grant reporting: 0.8% </t>
  </si>
  <si>
    <t xml:space="preserve">Worker's Comp </t>
  </si>
  <si>
    <t xml:space="preserve">Average in grant reporting: 0.1% </t>
  </si>
  <si>
    <t>TOTAL BENEFITS/FRINGE</t>
  </si>
  <si>
    <t xml:space="preserve">CONSULTANTS </t>
  </si>
  <si>
    <t xml:space="preserve">TOTAL PERSONNEL COST </t>
  </si>
  <si>
    <t xml:space="preserve">Averages from grant reporting </t>
  </si>
  <si>
    <t>Travel</t>
  </si>
  <si>
    <t>Equipment</t>
  </si>
  <si>
    <t>Supplies</t>
  </si>
  <si>
    <t>`</t>
  </si>
  <si>
    <t xml:space="preserve">Contractual Services </t>
  </si>
  <si>
    <t xml:space="preserve">Occupancy (Rent and Utilities) </t>
  </si>
  <si>
    <t xml:space="preserve">Telecommunications </t>
  </si>
  <si>
    <t xml:space="preserve">Training and Education </t>
  </si>
  <si>
    <t xml:space="preserve">Other/Miscellaneous </t>
  </si>
  <si>
    <t>Total Non-Personnel Costs</t>
  </si>
  <si>
    <t>TOTAL NON-PERSONNEL COSTS</t>
  </si>
  <si>
    <t xml:space="preserve">CFC Total Direct Costs </t>
  </si>
  <si>
    <t xml:space="preserve">Indirect </t>
  </si>
  <si>
    <t xml:space="preserve">Indirect cost percentage (10% is most common) </t>
  </si>
  <si>
    <t xml:space="preserve">CFC Total Costs </t>
  </si>
  <si>
    <t>Early Intervention Infrastructure Budgets</t>
  </si>
  <si>
    <t>EXISTING BUDGET</t>
  </si>
  <si>
    <t>Existing FTE</t>
  </si>
  <si>
    <t>Salaries</t>
  </si>
  <si>
    <t>Benefits</t>
  </si>
  <si>
    <t>Total Personnel</t>
  </si>
  <si>
    <t>Contractual Services</t>
  </si>
  <si>
    <t>Other Non-Personnel</t>
  </si>
  <si>
    <t>Total Non-Personnel</t>
  </si>
  <si>
    <t>Indirect Costs</t>
  </si>
  <si>
    <t xml:space="preserve">Unknown overhead </t>
  </si>
  <si>
    <t>Total Program Cost</t>
  </si>
  <si>
    <t>Benefits as a % of total salaries</t>
  </si>
  <si>
    <t>Personnel as a % of total cost</t>
  </si>
  <si>
    <t>NEW ADDITIONS</t>
  </si>
  <si>
    <t>New FTE</t>
  </si>
  <si>
    <t>inflation/COLA</t>
  </si>
  <si>
    <t>Total Additional Program Cost</t>
  </si>
  <si>
    <t>Additional Personnel as a % of budget total cost</t>
  </si>
  <si>
    <t>CURRENT BUDGET COLA ADJUSTMENTS</t>
  </si>
  <si>
    <t>NEW BUDGET - COST OF LIVING ADJUSTMENTS</t>
  </si>
  <si>
    <t>FTE</t>
  </si>
  <si>
    <t xml:space="preserve">Total Program Cost Percentage Increase </t>
  </si>
  <si>
    <t>Current Wages</t>
  </si>
  <si>
    <t>Education Level Wages</t>
  </si>
  <si>
    <t>Custom Wages</t>
  </si>
  <si>
    <t>Hourly Wage Assumptions</t>
  </si>
  <si>
    <t>Salaried Conversion</t>
  </si>
  <si>
    <t>Edit on CFCs tab</t>
  </si>
  <si>
    <t>Edit Custom Wages on Wage Assumptions Tab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</si>
</sst>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0.0"/>
    <numFmt numFmtId="165" formatCode="_(&quot;$&quot;* #,##0_);_(&quot;$&quot;* \(#,##0\);_(&quot;$&quot;* &quot;-&quot;??_);_(@_)"/>
    <numFmt numFmtId="166" formatCode="_(&quot;$&quot;* #,##0_);_(&quot;$&quot;* \(#,##0\);_(&quot;$&quot;* &quot;-&quot;?_);_(@_)"/>
    <numFmt numFmtId="167" formatCode="0.0000"/>
    <numFmt numFmtId="168" formatCode="#,##0.0000"/>
    <numFmt numFmtId="169" formatCode="0.0%"/>
  </numFmts>
  <fonts count="46" x14ac:knownFonts="1">
    <font>
      <sz val="11"/>
      <color theme="1"/>
      <name val="Calibri"/>
      <family val="2"/>
      <scheme val="minor"/>
    </font>
    <font>
      <sz val="11"/>
      <color theme="1"/>
      <name val="Calibri"/>
      <family val="2"/>
      <scheme val="minor"/>
    </font>
    <font>
      <u/>
      <sz val="11"/>
      <color theme="10"/>
      <name val="Calibri"/>
      <family val="2"/>
      <scheme val="minor"/>
    </font>
    <font>
      <b/>
      <sz val="11"/>
      <color theme="1"/>
      <name val="Calibri"/>
      <family val="2"/>
      <scheme val="minor"/>
    </font>
    <font>
      <i/>
      <sz val="11"/>
      <color theme="1"/>
      <name val="Calibri"/>
      <family val="2"/>
      <scheme val="minor"/>
    </font>
    <font>
      <b/>
      <sz val="11"/>
      <color theme="0"/>
      <name val="Calibri"/>
      <family val="2"/>
      <scheme val="minor"/>
    </font>
    <font>
      <sz val="11"/>
      <color theme="0"/>
      <name val="Calibri"/>
      <family val="2"/>
      <scheme val="minor"/>
    </font>
    <font>
      <b/>
      <sz val="12"/>
      <color theme="1"/>
      <name val="Calibri"/>
      <family val="2"/>
      <scheme val="minor"/>
    </font>
    <font>
      <i/>
      <sz val="12"/>
      <color theme="1"/>
      <name val="Calibri"/>
      <family val="2"/>
      <scheme val="minor"/>
    </font>
    <font>
      <b/>
      <sz val="12"/>
      <color rgb="FFFF0000"/>
      <name val="Calibri"/>
      <family val="2"/>
      <scheme val="minor"/>
    </font>
    <font>
      <b/>
      <u/>
      <sz val="11"/>
      <color theme="1"/>
      <name val="Calibri"/>
      <family val="2"/>
      <scheme val="minor"/>
    </font>
    <font>
      <u/>
      <sz val="11"/>
      <color theme="1"/>
      <name val="Calibri"/>
      <family val="2"/>
      <scheme val="minor"/>
    </font>
    <font>
      <b/>
      <i/>
      <sz val="11"/>
      <color theme="1"/>
      <name val="Calibri"/>
      <family val="2"/>
      <scheme val="minor"/>
    </font>
    <font>
      <b/>
      <i/>
      <u/>
      <sz val="11"/>
      <color theme="1"/>
      <name val="Calibri"/>
      <family val="2"/>
      <scheme val="minor"/>
    </font>
    <font>
      <sz val="11"/>
      <color rgb="FF0000FF"/>
      <name val="Calibri"/>
      <family val="2"/>
      <scheme val="minor"/>
    </font>
    <font>
      <sz val="11"/>
      <color theme="10"/>
      <name val="Calibri"/>
      <family val="2"/>
      <scheme val="minor"/>
    </font>
    <font>
      <b/>
      <u/>
      <sz val="11"/>
      <color theme="0"/>
      <name val="Calibri"/>
      <family val="2"/>
      <scheme val="minor"/>
    </font>
    <font>
      <i/>
      <sz val="11"/>
      <color rgb="FFFF0000"/>
      <name val="Calibri"/>
      <family val="2"/>
      <scheme val="minor"/>
    </font>
    <font>
      <sz val="12"/>
      <color theme="1"/>
      <name val="Calibri"/>
      <family val="2"/>
      <scheme val="minor"/>
    </font>
    <font>
      <i/>
      <u/>
      <sz val="11"/>
      <color theme="10"/>
      <name val="Calibri"/>
      <family val="2"/>
      <scheme val="minor"/>
    </font>
    <font>
      <sz val="11"/>
      <name val="Calibri"/>
      <family val="2"/>
      <scheme val="minor"/>
    </font>
    <font>
      <b/>
      <sz val="11"/>
      <name val="Calibri"/>
      <family val="2"/>
      <scheme val="minor"/>
    </font>
    <font>
      <sz val="11"/>
      <color rgb="FFFF0000"/>
      <name val="Calibri"/>
      <family val="2"/>
      <scheme val="minor"/>
    </font>
    <font>
      <b/>
      <sz val="11"/>
      <color theme="5" tint="0.39997558519241921"/>
      <name val="Calibri"/>
      <family val="2"/>
      <scheme val="minor"/>
    </font>
    <font>
      <b/>
      <sz val="11"/>
      <color theme="5" tint="-0.249977111117893"/>
      <name val="Calibri"/>
      <family val="2"/>
      <scheme val="minor"/>
    </font>
    <font>
      <sz val="11"/>
      <color rgb="FF000000"/>
      <name val="Calibri"/>
      <family val="2"/>
    </font>
    <font>
      <b/>
      <sz val="11"/>
      <color rgb="FF000000"/>
      <name val="Calibri"/>
      <family val="2"/>
    </font>
    <font>
      <u/>
      <sz val="11"/>
      <color rgb="FF000000"/>
      <name val="Calibri"/>
      <family val="2"/>
    </font>
    <font>
      <i/>
      <sz val="11"/>
      <name val="Calibri"/>
      <family val="2"/>
      <scheme val="minor"/>
    </font>
    <font>
      <b/>
      <u/>
      <sz val="11"/>
      <name val="Calibri"/>
      <family val="2"/>
      <scheme val="minor"/>
    </font>
    <font>
      <i/>
      <u/>
      <sz val="11"/>
      <color theme="1"/>
      <name val="Calibri"/>
      <family val="2"/>
      <scheme val="minor"/>
    </font>
    <font>
      <i/>
      <sz val="11"/>
      <color rgb="FF0000FF"/>
      <name val="Calibri"/>
      <family val="2"/>
      <scheme val="minor"/>
    </font>
    <font>
      <b/>
      <sz val="14"/>
      <color theme="0"/>
      <name val="Calibri"/>
      <family val="2"/>
      <scheme val="minor"/>
    </font>
    <font>
      <b/>
      <sz val="12"/>
      <color rgb="FF000000"/>
      <name val="Calibri"/>
      <family val="2"/>
    </font>
    <font>
      <i/>
      <sz val="12"/>
      <color rgb="FF000000"/>
      <name val="Calibri"/>
      <family val="2"/>
    </font>
    <font>
      <b/>
      <sz val="12"/>
      <color rgb="FFFF0000"/>
      <name val="Calibri"/>
      <family val="2"/>
    </font>
    <font>
      <sz val="11"/>
      <color theme="0"/>
      <name val="Calibri"/>
      <family val="2"/>
    </font>
    <font>
      <b/>
      <i/>
      <sz val="11"/>
      <name val="Calibri"/>
      <family val="2"/>
      <scheme val="minor"/>
    </font>
    <font>
      <sz val="11"/>
      <color theme="4" tint="-0.249977111117893"/>
      <name val="Calibri"/>
      <family val="2"/>
      <scheme val="minor"/>
    </font>
    <font>
      <b/>
      <sz val="12"/>
      <color theme="0"/>
      <name val="Calibri"/>
      <family val="2"/>
      <scheme val="minor"/>
    </font>
    <font>
      <sz val="12"/>
      <color rgb="FF0000FF"/>
      <name val="Calibri"/>
      <family val="2"/>
      <scheme val="minor"/>
    </font>
    <font>
      <sz val="11"/>
      <color theme="1"/>
      <name val="Calibri"/>
      <family val="2"/>
    </font>
    <font>
      <b/>
      <sz val="11"/>
      <color theme="0"/>
      <name val="Calibri"/>
      <family val="2"/>
    </font>
    <font>
      <i/>
      <u/>
      <sz val="12"/>
      <color theme="1"/>
      <name val="Calibri"/>
      <family val="2"/>
      <scheme val="minor"/>
    </font>
    <font>
      <b/>
      <sz val="11"/>
      <color rgb="FF0000FF"/>
      <name val="Calibri"/>
      <family val="2"/>
      <scheme val="minor"/>
    </font>
    <font>
      <sz val="11"/>
      <color rgb="FFC00000"/>
      <name val="Calibri"/>
      <family val="2"/>
      <scheme val="minor"/>
    </font>
  </fonts>
  <fills count="27">
    <fill>
      <patternFill patternType="none"/>
    </fill>
    <fill>
      <patternFill patternType="gray125"/>
    </fill>
    <fill>
      <patternFill patternType="solid">
        <fgColor theme="7" tint="0.59999389629810485"/>
        <bgColor indexed="64"/>
      </patternFill>
    </fill>
    <fill>
      <patternFill patternType="solid">
        <fgColor theme="3"/>
        <bgColor indexed="64"/>
      </patternFill>
    </fill>
    <fill>
      <patternFill patternType="solid">
        <fgColor theme="0" tint="-4.9989318521683403E-2"/>
        <bgColor indexed="64"/>
      </patternFill>
    </fill>
    <fill>
      <patternFill patternType="lightUp"/>
    </fill>
    <fill>
      <patternFill patternType="solid">
        <fgColor theme="0" tint="-0.14999847407452621"/>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2"/>
        <bgColor indexed="64"/>
      </patternFill>
    </fill>
    <fill>
      <patternFill patternType="solid">
        <fgColor indexed="65"/>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rgb="FFE7E6E6"/>
        <bgColor rgb="FF000000"/>
      </patternFill>
    </fill>
    <fill>
      <patternFill patternType="solid">
        <fgColor theme="6" tint="0.39997558519241921"/>
        <bgColor indexed="64"/>
      </patternFill>
    </fill>
    <fill>
      <patternFill patternType="solid">
        <fgColor theme="9" tint="0.79998168889431442"/>
        <bgColor indexed="64"/>
      </patternFill>
    </fill>
    <fill>
      <patternFill patternType="solid">
        <fgColor theme="5" tint="0.39997558519241921"/>
        <bgColor indexed="64"/>
      </patternFill>
    </fill>
    <fill>
      <patternFill patternType="solid">
        <fgColor rgb="FF44546A"/>
        <bgColor rgb="FF000000"/>
      </patternFill>
    </fill>
    <fill>
      <patternFill patternType="solid">
        <fgColor theme="5"/>
        <bgColor indexed="64"/>
      </patternFill>
    </fill>
    <fill>
      <patternFill patternType="solid">
        <fgColor theme="7"/>
        <bgColor indexed="64"/>
      </patternFill>
    </fill>
    <fill>
      <patternFill patternType="solid">
        <fgColor theme="3" tint="0.79998168889431442"/>
        <bgColor indexed="64"/>
      </patternFill>
    </fill>
    <fill>
      <patternFill patternType="solid">
        <fgColor rgb="FF44546A"/>
        <bgColor indexed="64"/>
      </patternFill>
    </fill>
    <fill>
      <patternFill patternType="solid">
        <fgColor theme="4"/>
        <bgColor rgb="FF000000"/>
      </patternFill>
    </fill>
    <fill>
      <patternFill patternType="solid">
        <fgColor theme="4"/>
        <bgColor indexed="64"/>
      </patternFill>
    </fill>
    <fill>
      <patternFill patternType="solid">
        <fgColor rgb="FFFFE699"/>
        <bgColor indexed="64"/>
      </patternFill>
    </fill>
    <fill>
      <patternFill patternType="solid">
        <fgColor theme="0"/>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right style="medium">
        <color indexed="64"/>
      </right>
      <top/>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right style="medium">
        <color indexed="64"/>
      </right>
      <top style="thin">
        <color indexed="64"/>
      </top>
      <bottom/>
      <diagonal/>
    </border>
    <border>
      <left style="thin">
        <color indexed="64"/>
      </left>
      <right/>
      <top/>
      <bottom style="medium">
        <color indexed="64"/>
      </bottom>
      <diagonal/>
    </border>
    <border>
      <left style="thin">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double">
        <color auto="1"/>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43" fontId="1" fillId="0" borderId="0" applyFont="0" applyFill="0" applyBorder="0" applyAlignment="0" applyProtection="0"/>
  </cellStyleXfs>
  <cellXfs count="447">
    <xf numFmtId="0" fontId="0" fillId="0" borderId="0" xfId="0"/>
    <xf numFmtId="0" fontId="4" fillId="0" borderId="0" xfId="0" applyFont="1"/>
    <xf numFmtId="0" fontId="0" fillId="0" borderId="9" xfId="0" applyBorder="1"/>
    <xf numFmtId="0" fontId="3" fillId="0" borderId="0" xfId="0" applyFont="1"/>
    <xf numFmtId="1" fontId="0" fillId="0" borderId="0" xfId="0" applyNumberFormat="1"/>
    <xf numFmtId="0" fontId="0" fillId="0" borderId="0" xfId="0" applyAlignment="1">
      <alignment horizontal="center"/>
    </xf>
    <xf numFmtId="0" fontId="7" fillId="0" borderId="0" xfId="0" applyFont="1"/>
    <xf numFmtId="0" fontId="8" fillId="0" borderId="0" xfId="0" applyFont="1"/>
    <xf numFmtId="0" fontId="9" fillId="0" borderId="0" xfId="0" applyFont="1"/>
    <xf numFmtId="44" fontId="0" fillId="0" borderId="0" xfId="0" applyNumberFormat="1"/>
    <xf numFmtId="0" fontId="5" fillId="3" borderId="0" xfId="0" applyFont="1" applyFill="1"/>
    <xf numFmtId="0" fontId="6" fillId="3" borderId="0" xfId="0" applyFont="1" applyFill="1"/>
    <xf numFmtId="0" fontId="3" fillId="0" borderId="0" xfId="0" applyFont="1" applyAlignment="1">
      <alignment horizontal="left"/>
    </xf>
    <xf numFmtId="0" fontId="0" fillId="0" borderId="2" xfId="0" applyBorder="1" applyAlignment="1">
      <alignment horizontal="center"/>
    </xf>
    <xf numFmtId="0" fontId="0" fillId="0" borderId="10" xfId="0" applyBorder="1"/>
    <xf numFmtId="0" fontId="0" fillId="0" borderId="10" xfId="0" applyBorder="1" applyAlignment="1">
      <alignment horizontal="center"/>
    </xf>
    <xf numFmtId="0" fontId="0" fillId="0" borderId="0" xfId="0" applyAlignment="1">
      <alignment horizontal="left"/>
    </xf>
    <xf numFmtId="0" fontId="11" fillId="0" borderId="0" xfId="0" applyFont="1" applyAlignment="1">
      <alignment horizontal="left"/>
    </xf>
    <xf numFmtId="44" fontId="0" fillId="0" borderId="0" xfId="1" applyFont="1"/>
    <xf numFmtId="165" fontId="3" fillId="0" borderId="0" xfId="0" applyNumberFormat="1" applyFont="1"/>
    <xf numFmtId="0" fontId="0" fillId="0" borderId="1" xfId="0" applyBorder="1"/>
    <xf numFmtId="44" fontId="0" fillId="0" borderId="1" xfId="1" applyFont="1" applyBorder="1"/>
    <xf numFmtId="0" fontId="12" fillId="0" borderId="0" xfId="0" applyFont="1"/>
    <xf numFmtId="0" fontId="4" fillId="0" borderId="0" xfId="0" applyFont="1" applyAlignment="1">
      <alignment horizontal="left"/>
    </xf>
    <xf numFmtId="0" fontId="3" fillId="0" borderId="2" xfId="0" applyFont="1" applyBorder="1"/>
    <xf numFmtId="0" fontId="3" fillId="0" borderId="2" xfId="0" applyFont="1" applyBorder="1" applyAlignment="1">
      <alignment horizontal="center"/>
    </xf>
    <xf numFmtId="0" fontId="0" fillId="0" borderId="0" xfId="0" applyAlignment="1">
      <alignment horizontal="center" vertical="center" wrapText="1"/>
    </xf>
    <xf numFmtId="0" fontId="3" fillId="7" borderId="0" xfId="0" applyFont="1" applyFill="1" applyAlignment="1">
      <alignment horizontal="center" vertical="center" wrapText="1"/>
    </xf>
    <xf numFmtId="0" fontId="0" fillId="3" borderId="0" xfId="0" applyFill="1"/>
    <xf numFmtId="0" fontId="5" fillId="3" borderId="0" xfId="0" applyFont="1" applyFill="1" applyAlignment="1">
      <alignment horizontal="center" vertical="center" wrapText="1"/>
    </xf>
    <xf numFmtId="0" fontId="5" fillId="3" borderId="0" xfId="0" applyFont="1" applyFill="1" applyAlignment="1">
      <alignment horizontal="left"/>
    </xf>
    <xf numFmtId="0" fontId="0" fillId="0" borderId="0" xfId="0" applyAlignment="1">
      <alignment horizontal="left" vertical="center"/>
    </xf>
    <xf numFmtId="0" fontId="11" fillId="0" borderId="0" xfId="0" applyFont="1" applyAlignment="1">
      <alignment horizontal="left" wrapText="1"/>
    </xf>
    <xf numFmtId="0" fontId="3" fillId="9" borderId="1" xfId="0" applyFont="1" applyFill="1" applyBorder="1" applyAlignment="1">
      <alignment vertical="center"/>
    </xf>
    <xf numFmtId="0" fontId="3" fillId="9" borderId="1" xfId="0" applyFont="1" applyFill="1" applyBorder="1" applyAlignment="1">
      <alignment horizontal="center" vertical="center" wrapText="1"/>
    </xf>
    <xf numFmtId="0" fontId="3" fillId="9" borderId="1" xfId="0" applyFont="1" applyFill="1" applyBorder="1"/>
    <xf numFmtId="44" fontId="14" fillId="0" borderId="1" xfId="1" applyFont="1" applyBorder="1" applyAlignment="1">
      <alignment horizontal="center" vertical="center" wrapText="1"/>
    </xf>
    <xf numFmtId="165" fontId="14" fillId="0" borderId="1" xfId="1" applyNumberFormat="1" applyFont="1" applyBorder="1" applyAlignment="1">
      <alignment horizontal="center" vertical="center" wrapText="1"/>
    </xf>
    <xf numFmtId="0" fontId="15" fillId="0" borderId="0" xfId="3" applyFont="1" applyAlignment="1">
      <alignment horizontal="center"/>
    </xf>
    <xf numFmtId="0" fontId="7" fillId="0" borderId="0" xfId="0" applyFont="1" applyAlignment="1">
      <alignment horizontal="left"/>
    </xf>
    <xf numFmtId="0" fontId="7" fillId="0" borderId="0" xfId="0" applyFont="1" applyAlignment="1">
      <alignment horizontal="center"/>
    </xf>
    <xf numFmtId="44" fontId="7" fillId="0" borderId="0" xfId="1" applyFont="1"/>
    <xf numFmtId="44" fontId="3" fillId="0" borderId="2" xfId="1" applyFont="1" applyBorder="1"/>
    <xf numFmtId="0" fontId="5" fillId="3" borderId="0" xfId="0" applyFont="1" applyFill="1" applyAlignment="1">
      <alignment horizontal="centerContinuous"/>
    </xf>
    <xf numFmtId="0" fontId="10" fillId="0" borderId="0" xfId="0" applyFont="1" applyAlignment="1">
      <alignment horizontal="center"/>
    </xf>
    <xf numFmtId="0" fontId="10" fillId="0" borderId="0" xfId="0" applyFont="1" applyAlignment="1">
      <alignment horizontal="centerContinuous"/>
    </xf>
    <xf numFmtId="0" fontId="13" fillId="0" borderId="0" xfId="0" applyFont="1" applyAlignment="1">
      <alignment horizontal="centerContinuous"/>
    </xf>
    <xf numFmtId="0" fontId="16" fillId="3" borderId="0" xfId="0" applyFont="1" applyFill="1" applyAlignment="1">
      <alignment horizontal="center" vertical="center"/>
    </xf>
    <xf numFmtId="0" fontId="16" fillId="3" borderId="0" xfId="0" applyFont="1" applyFill="1" applyAlignment="1">
      <alignment horizontal="centerContinuous"/>
    </xf>
    <xf numFmtId="9" fontId="0" fillId="0" borderId="0" xfId="2" applyFont="1" applyAlignment="1">
      <alignment horizontal="right" vertical="center"/>
    </xf>
    <xf numFmtId="0" fontId="7" fillId="0" borderId="2" xfId="0" applyFont="1" applyBorder="1"/>
    <xf numFmtId="0" fontId="7" fillId="0" borderId="2" xfId="0" applyFont="1" applyBorder="1" applyAlignment="1">
      <alignment horizontal="center"/>
    </xf>
    <xf numFmtId="44" fontId="7" fillId="0" borderId="2" xfId="1" applyFont="1" applyBorder="1" applyAlignment="1">
      <alignment horizontal="right" vertical="center"/>
    </xf>
    <xf numFmtId="165" fontId="0" fillId="0" borderId="0" xfId="1" applyNumberFormat="1" applyFont="1"/>
    <xf numFmtId="0" fontId="3" fillId="0" borderId="0" xfId="0" applyFont="1" applyAlignment="1">
      <alignment vertical="center"/>
    </xf>
    <xf numFmtId="164" fontId="0" fillId="0" borderId="2" xfId="0" applyNumberFormat="1" applyBorder="1" applyAlignment="1">
      <alignment horizontal="center"/>
    </xf>
    <xf numFmtId="164" fontId="3" fillId="0" borderId="2" xfId="0" applyNumberFormat="1" applyFont="1" applyBorder="1" applyAlignment="1">
      <alignment horizontal="center" vertical="center"/>
    </xf>
    <xf numFmtId="164" fontId="0" fillId="0" borderId="0" xfId="4" applyNumberFormat="1" applyFont="1" applyAlignment="1">
      <alignment horizontal="center" vertical="center"/>
    </xf>
    <xf numFmtId="165" fontId="0" fillId="0" borderId="0" xfId="0" applyNumberFormat="1"/>
    <xf numFmtId="0" fontId="17" fillId="0" borderId="0" xfId="0" applyFont="1"/>
    <xf numFmtId="165" fontId="3" fillId="0" borderId="2" xfId="0" applyNumberFormat="1" applyFont="1" applyBorder="1"/>
    <xf numFmtId="0" fontId="11" fillId="0" borderId="0" xfId="0" applyFont="1" applyAlignment="1">
      <alignment horizontal="center"/>
    </xf>
    <xf numFmtId="0" fontId="7" fillId="11" borderId="0" xfId="0" applyFont="1" applyFill="1"/>
    <xf numFmtId="0" fontId="7" fillId="11" borderId="0" xfId="0" applyFont="1" applyFill="1" applyAlignment="1">
      <alignment horizontal="center"/>
    </xf>
    <xf numFmtId="165" fontId="3" fillId="0" borderId="2" xfId="0" applyNumberFormat="1" applyFont="1" applyBorder="1" applyAlignment="1">
      <alignment horizontal="center"/>
    </xf>
    <xf numFmtId="0" fontId="0" fillId="0" borderId="0" xfId="0" applyAlignment="1">
      <alignment vertical="center"/>
    </xf>
    <xf numFmtId="0" fontId="3" fillId="11" borderId="6" xfId="0" applyFont="1" applyFill="1" applyBorder="1" applyAlignment="1">
      <alignment horizontal="left"/>
    </xf>
    <xf numFmtId="44" fontId="3" fillId="11" borderId="1" xfId="0" applyNumberFormat="1" applyFont="1" applyFill="1" applyBorder="1"/>
    <xf numFmtId="0" fontId="19" fillId="0" borderId="0" xfId="3" applyFont="1"/>
    <xf numFmtId="9" fontId="0" fillId="0" borderId="0" xfId="0" applyNumberFormat="1" applyAlignment="1">
      <alignment horizontal="center"/>
    </xf>
    <xf numFmtId="0" fontId="3" fillId="0" borderId="1" xfId="0" applyFont="1" applyBorder="1"/>
    <xf numFmtId="0" fontId="0" fillId="0" borderId="2" xfId="0" applyBorder="1"/>
    <xf numFmtId="43" fontId="0" fillId="0" borderId="0" xfId="0" applyNumberFormat="1"/>
    <xf numFmtId="0" fontId="0" fillId="6" borderId="5" xfId="0" applyFill="1" applyBorder="1"/>
    <xf numFmtId="0" fontId="5" fillId="0" borderId="0" xfId="0" applyFont="1"/>
    <xf numFmtId="0" fontId="6" fillId="0" borderId="0" xfId="0" applyFont="1"/>
    <xf numFmtId="0" fontId="21" fillId="0" borderId="0" xfId="0" applyFont="1" applyAlignment="1">
      <alignment horizontal="center"/>
    </xf>
    <xf numFmtId="0" fontId="20" fillId="0" borderId="0" xfId="0" applyFont="1" applyAlignment="1">
      <alignment horizontal="center"/>
    </xf>
    <xf numFmtId="0" fontId="21" fillId="0" borderId="0" xfId="0" applyFont="1" applyAlignment="1">
      <alignment horizontal="left"/>
    </xf>
    <xf numFmtId="0" fontId="3" fillId="0" borderId="5" xfId="0" applyFont="1" applyBorder="1"/>
    <xf numFmtId="0" fontId="3" fillId="0" borderId="6" xfId="0" applyFont="1" applyBorder="1"/>
    <xf numFmtId="0" fontId="3" fillId="6" borderId="1" xfId="0" applyFont="1" applyFill="1" applyBorder="1" applyAlignment="1">
      <alignment vertical="center"/>
    </xf>
    <xf numFmtId="0" fontId="0" fillId="0" borderId="1" xfId="0" applyBorder="1" applyAlignment="1">
      <alignment horizontal="center"/>
    </xf>
    <xf numFmtId="0" fontId="0" fillId="0" borderId="1" xfId="0" applyBorder="1" applyAlignment="1">
      <alignment horizontal="center" vertical="center" wrapText="1"/>
    </xf>
    <xf numFmtId="0" fontId="4" fillId="9" borderId="1" xfId="0" applyFont="1" applyFill="1" applyBorder="1"/>
    <xf numFmtId="0" fontId="3" fillId="6" borderId="1" xfId="0" applyFont="1" applyFill="1" applyBorder="1" applyAlignment="1">
      <alignment horizontal="center" vertical="center" wrapText="1"/>
    </xf>
    <xf numFmtId="44" fontId="0" fillId="0" borderId="1" xfId="0" applyNumberFormat="1" applyBorder="1" applyAlignment="1">
      <alignment horizontal="center" vertical="center" wrapText="1"/>
    </xf>
    <xf numFmtId="0" fontId="2" fillId="0" borderId="0" xfId="3" applyAlignment="1">
      <alignment horizontal="center"/>
    </xf>
    <xf numFmtId="0" fontId="7" fillId="13" borderId="6" xfId="0" applyFont="1" applyFill="1" applyBorder="1"/>
    <xf numFmtId="0" fontId="7" fillId="13" borderId="5" xfId="0" applyFont="1" applyFill="1" applyBorder="1"/>
    <xf numFmtId="0" fontId="7" fillId="13" borderId="5" xfId="0" applyFont="1" applyFill="1" applyBorder="1" applyAlignment="1">
      <alignment horizontal="center"/>
    </xf>
    <xf numFmtId="165" fontId="7" fillId="13" borderId="3" xfId="0" applyNumberFormat="1" applyFont="1" applyFill="1" applyBorder="1"/>
    <xf numFmtId="0" fontId="7" fillId="11" borderId="6" xfId="0" applyFont="1" applyFill="1" applyBorder="1"/>
    <xf numFmtId="0" fontId="18" fillId="13" borderId="5" xfId="0" applyFont="1" applyFill="1" applyBorder="1"/>
    <xf numFmtId="0" fontId="18" fillId="13" borderId="5" xfId="0" applyFont="1" applyFill="1" applyBorder="1" applyAlignment="1">
      <alignment horizontal="center"/>
    </xf>
    <xf numFmtId="0" fontId="7" fillId="13" borderId="11" xfId="0" applyFont="1" applyFill="1" applyBorder="1"/>
    <xf numFmtId="0" fontId="7" fillId="13" borderId="12" xfId="0" applyFont="1" applyFill="1" applyBorder="1"/>
    <xf numFmtId="0" fontId="7" fillId="13" borderId="12" xfId="0" applyFont="1" applyFill="1" applyBorder="1" applyAlignment="1">
      <alignment horizontal="center"/>
    </xf>
    <xf numFmtId="165" fontId="7" fillId="13" borderId="13" xfId="0" applyNumberFormat="1" applyFont="1" applyFill="1" applyBorder="1"/>
    <xf numFmtId="0" fontId="0" fillId="0" borderId="0" xfId="0" applyAlignment="1">
      <alignment horizontal="centerContinuous"/>
    </xf>
    <xf numFmtId="0" fontId="4" fillId="0" borderId="0" xfId="0" applyFont="1" applyAlignment="1">
      <alignment horizontal="center"/>
    </xf>
    <xf numFmtId="0" fontId="12" fillId="0" borderId="0" xfId="0" applyFont="1" applyAlignment="1">
      <alignment horizontal="center"/>
    </xf>
    <xf numFmtId="166" fontId="0" fillId="0" borderId="0" xfId="0" applyNumberFormat="1"/>
    <xf numFmtId="0" fontId="0" fillId="0" borderId="0" xfId="0" applyAlignment="1">
      <alignment horizontal="right"/>
    </xf>
    <xf numFmtId="0" fontId="3" fillId="0" borderId="0" xfId="0" applyFont="1" applyAlignment="1">
      <alignment horizontal="centerContinuous"/>
    </xf>
    <xf numFmtId="0" fontId="12" fillId="0" borderId="0" xfId="0" applyFont="1" applyAlignment="1">
      <alignment horizontal="centerContinuous"/>
    </xf>
    <xf numFmtId="0" fontId="3" fillId="12" borderId="6" xfId="0" applyFont="1" applyFill="1" applyBorder="1"/>
    <xf numFmtId="0" fontId="0" fillId="12" borderId="5" xfId="0" applyFill="1" applyBorder="1"/>
    <xf numFmtId="0" fontId="0" fillId="12" borderId="5" xfId="0" applyFill="1" applyBorder="1" applyAlignment="1">
      <alignment horizontal="center" vertical="center" wrapText="1"/>
    </xf>
    <xf numFmtId="0" fontId="0" fillId="12" borderId="3" xfId="0" applyFill="1" applyBorder="1" applyAlignment="1">
      <alignment horizontal="center" vertical="center" wrapText="1"/>
    </xf>
    <xf numFmtId="0" fontId="0" fillId="11" borderId="5" xfId="0" applyFill="1" applyBorder="1" applyAlignment="1">
      <alignment horizontal="center"/>
    </xf>
    <xf numFmtId="44" fontId="3" fillId="11" borderId="6" xfId="1" applyFont="1" applyFill="1" applyBorder="1"/>
    <xf numFmtId="0" fontId="0" fillId="9" borderId="1" xfId="0" applyFill="1" applyBorder="1" applyAlignment="1">
      <alignment horizontal="center" vertical="center" wrapText="1"/>
    </xf>
    <xf numFmtId="0" fontId="11" fillId="0" borderId="0" xfId="0" applyFont="1" applyAlignment="1">
      <alignment horizontal="center" vertical="center"/>
    </xf>
    <xf numFmtId="4" fontId="0" fillId="0" borderId="0" xfId="4" applyNumberFormat="1" applyFont="1" applyBorder="1" applyAlignment="1">
      <alignment horizontal="center" vertical="center"/>
    </xf>
    <xf numFmtId="4" fontId="0" fillId="0" borderId="0" xfId="0" applyNumberFormat="1"/>
    <xf numFmtId="4" fontId="0" fillId="0" borderId="0" xfId="0" applyNumberFormat="1" applyAlignment="1">
      <alignment horizontal="center"/>
    </xf>
    <xf numFmtId="0" fontId="22" fillId="0" borderId="0" xfId="0" applyFont="1"/>
    <xf numFmtId="165" fontId="0" fillId="9" borderId="0" xfId="1" applyNumberFormat="1" applyFont="1" applyFill="1" applyAlignment="1">
      <alignment horizontal="center"/>
    </xf>
    <xf numFmtId="165" fontId="0" fillId="0" borderId="0" xfId="0" applyNumberFormat="1" applyAlignment="1">
      <alignment horizontal="center" vertical="center" wrapText="1"/>
    </xf>
    <xf numFmtId="10" fontId="14" fillId="9" borderId="0" xfId="0" applyNumberFormat="1" applyFont="1" applyFill="1" applyAlignment="1">
      <alignment horizontal="center"/>
    </xf>
    <xf numFmtId="44" fontId="0" fillId="0" borderId="26" xfId="1" applyFont="1" applyBorder="1"/>
    <xf numFmtId="0" fontId="18" fillId="0" borderId="0" xfId="0" applyFont="1"/>
    <xf numFmtId="165" fontId="14" fillId="0" borderId="1" xfId="1" applyNumberFormat="1" applyFont="1" applyBorder="1"/>
    <xf numFmtId="0" fontId="25" fillId="0" borderId="0" xfId="0" applyFont="1"/>
    <xf numFmtId="0" fontId="26" fillId="14" borderId="1" xfId="0" applyFont="1" applyFill="1" applyBorder="1"/>
    <xf numFmtId="0" fontId="25" fillId="0" borderId="31" xfId="0" applyFont="1" applyBorder="1"/>
    <xf numFmtId="0" fontId="27" fillId="0" borderId="0" xfId="0" applyFont="1"/>
    <xf numFmtId="44" fontId="0" fillId="0" borderId="0" xfId="1" applyFont="1" applyAlignment="1">
      <alignment horizontal="center" vertical="center" wrapText="1"/>
    </xf>
    <xf numFmtId="0" fontId="0" fillId="0" borderId="20" xfId="0" applyBorder="1" applyAlignment="1">
      <alignment horizontal="center" vertical="center" wrapText="1"/>
    </xf>
    <xf numFmtId="0" fontId="0" fillId="9" borderId="13" xfId="0" applyFill="1" applyBorder="1" applyAlignment="1">
      <alignment horizontal="center" vertical="center" wrapText="1"/>
    </xf>
    <xf numFmtId="0" fontId="0" fillId="9" borderId="12" xfId="0" applyFill="1" applyBorder="1" applyAlignment="1">
      <alignment horizontal="center" vertical="center" wrapText="1"/>
    </xf>
    <xf numFmtId="0" fontId="3" fillId="9" borderId="11" xfId="0" applyFont="1" applyFill="1" applyBorder="1" applyAlignment="1">
      <alignment horizontal="center"/>
    </xf>
    <xf numFmtId="0" fontId="26" fillId="14" borderId="1" xfId="0" applyFont="1" applyFill="1" applyBorder="1" applyAlignment="1">
      <alignment horizontal="center" wrapText="1"/>
    </xf>
    <xf numFmtId="0" fontId="26" fillId="14" borderId="3" xfId="0" applyFont="1" applyFill="1" applyBorder="1" applyAlignment="1">
      <alignment horizontal="center" wrapText="1"/>
    </xf>
    <xf numFmtId="0" fontId="4" fillId="0" borderId="9" xfId="0" applyFont="1" applyBorder="1" applyAlignment="1">
      <alignment horizontal="left" vertical="center"/>
    </xf>
    <xf numFmtId="4" fontId="0" fillId="9" borderId="0" xfId="0" applyNumberFormat="1" applyFill="1" applyAlignment="1">
      <alignment horizontal="center"/>
    </xf>
    <xf numFmtId="10" fontId="0" fillId="9" borderId="0" xfId="2" applyNumberFormat="1" applyFont="1" applyFill="1" applyAlignment="1">
      <alignment horizontal="center"/>
    </xf>
    <xf numFmtId="0" fontId="18" fillId="7" borderId="0" xfId="0" applyFont="1" applyFill="1" applyAlignment="1">
      <alignment horizontal="center"/>
    </xf>
    <xf numFmtId="0" fontId="7" fillId="7" borderId="0" xfId="0" applyFont="1" applyFill="1"/>
    <xf numFmtId="0" fontId="18" fillId="7" borderId="0" xfId="0" applyFont="1" applyFill="1"/>
    <xf numFmtId="3" fontId="0" fillId="9" borderId="0" xfId="0" applyNumberFormat="1" applyFill="1" applyAlignment="1">
      <alignment horizontal="center" vertical="center"/>
    </xf>
    <xf numFmtId="10" fontId="14" fillId="9" borderId="0" xfId="2" applyNumberFormat="1" applyFont="1" applyFill="1" applyAlignment="1">
      <alignment horizontal="center"/>
    </xf>
    <xf numFmtId="0" fontId="17" fillId="0" borderId="0" xfId="0" applyFont="1" applyAlignment="1">
      <alignment horizontal="center"/>
    </xf>
    <xf numFmtId="168" fontId="0" fillId="9" borderId="0" xfId="0" applyNumberFormat="1" applyFill="1" applyAlignment="1">
      <alignment horizontal="center"/>
    </xf>
    <xf numFmtId="165" fontId="0" fillId="9" borderId="0" xfId="1" applyNumberFormat="1" applyFont="1" applyFill="1"/>
    <xf numFmtId="165" fontId="14" fillId="0" borderId="0" xfId="1" applyNumberFormat="1" applyFont="1" applyBorder="1"/>
    <xf numFmtId="165" fontId="0" fillId="0" borderId="0" xfId="0" applyNumberFormat="1" applyAlignment="1">
      <alignment horizontal="left"/>
    </xf>
    <xf numFmtId="165" fontId="28" fillId="9" borderId="1" xfId="1" applyNumberFormat="1" applyFont="1" applyFill="1" applyBorder="1"/>
    <xf numFmtId="165" fontId="20" fillId="9" borderId="1" xfId="1" applyNumberFormat="1" applyFont="1" applyFill="1" applyBorder="1"/>
    <xf numFmtId="0" fontId="4" fillId="0" borderId="0" xfId="0" applyFont="1" applyAlignment="1">
      <alignment horizontal="left" vertical="center"/>
    </xf>
    <xf numFmtId="0" fontId="0" fillId="0" borderId="33" xfId="0" applyBorder="1" applyAlignment="1">
      <alignment horizontal="center" vertical="center" wrapText="1"/>
    </xf>
    <xf numFmtId="0" fontId="0" fillId="0" borderId="34" xfId="0" applyBorder="1" applyAlignment="1">
      <alignment horizontal="left" vertical="center" wrapText="1"/>
    </xf>
    <xf numFmtId="0" fontId="0" fillId="0" borderId="23" xfId="0" applyBorder="1" applyAlignment="1">
      <alignment horizontal="center" vertical="center" wrapText="1"/>
    </xf>
    <xf numFmtId="44" fontId="0" fillId="9" borderId="0" xfId="1" applyFont="1" applyFill="1" applyAlignment="1">
      <alignment horizontal="center"/>
    </xf>
    <xf numFmtId="44" fontId="0" fillId="0" borderId="2" xfId="1" applyFont="1" applyBorder="1" applyAlignment="1">
      <alignment horizontal="center"/>
    </xf>
    <xf numFmtId="44" fontId="7" fillId="7" borderId="0" xfId="1" applyFont="1" applyFill="1"/>
    <xf numFmtId="44" fontId="7" fillId="11" borderId="0" xfId="1" applyFont="1" applyFill="1"/>
    <xf numFmtId="44" fontId="4" fillId="0" borderId="0" xfId="1" applyFont="1" applyAlignment="1">
      <alignment horizontal="center"/>
    </xf>
    <xf numFmtId="44" fontId="4" fillId="0" borderId="0" xfId="1" applyFont="1"/>
    <xf numFmtId="44" fontId="12" fillId="0" borderId="0" xfId="1" applyFont="1"/>
    <xf numFmtId="0" fontId="3" fillId="7" borderId="1" xfId="0" applyFont="1" applyFill="1" applyBorder="1" applyAlignment="1">
      <alignment horizontal="center" vertical="center" wrapText="1"/>
    </xf>
    <xf numFmtId="0" fontId="5" fillId="3" borderId="25" xfId="0" applyFont="1" applyFill="1" applyBorder="1" applyAlignment="1">
      <alignment vertical="center"/>
    </xf>
    <xf numFmtId="0" fontId="5" fillId="3" borderId="17" xfId="0" applyFont="1" applyFill="1" applyBorder="1" applyAlignment="1">
      <alignment horizontal="center" vertical="center" wrapText="1"/>
    </xf>
    <xf numFmtId="0" fontId="0" fillId="9" borderId="29" xfId="0" applyFill="1" applyBorder="1" applyAlignment="1">
      <alignment horizontal="center" vertical="center"/>
    </xf>
    <xf numFmtId="0" fontId="0" fillId="0" borderId="26" xfId="0" applyBorder="1"/>
    <xf numFmtId="0" fontId="0" fillId="0" borderId="32" xfId="0" applyBorder="1"/>
    <xf numFmtId="0" fontId="0" fillId="0" borderId="22" xfId="0" applyBorder="1"/>
    <xf numFmtId="0" fontId="0" fillId="6" borderId="15" xfId="0" applyFill="1" applyBorder="1"/>
    <xf numFmtId="0" fontId="0" fillId="6" borderId="16" xfId="0" applyFill="1" applyBorder="1"/>
    <xf numFmtId="0" fontId="0" fillId="6" borderId="12" xfId="0" applyFill="1" applyBorder="1"/>
    <xf numFmtId="0" fontId="3" fillId="6" borderId="11" xfId="0" applyFont="1" applyFill="1" applyBorder="1"/>
    <xf numFmtId="0" fontId="3" fillId="6" borderId="12" xfId="0" applyFont="1" applyFill="1" applyBorder="1"/>
    <xf numFmtId="9" fontId="14" fillId="0" borderId="0" xfId="0" applyNumberFormat="1" applyFont="1"/>
    <xf numFmtId="0" fontId="3" fillId="6" borderId="14" xfId="0" applyFont="1" applyFill="1" applyBorder="1"/>
    <xf numFmtId="9" fontId="14" fillId="0" borderId="20" xfId="0" applyNumberFormat="1" applyFont="1" applyBorder="1" applyAlignment="1">
      <alignment horizontal="center"/>
    </xf>
    <xf numFmtId="9" fontId="14" fillId="0" borderId="23" xfId="0" applyNumberFormat="1" applyFont="1" applyBorder="1" applyAlignment="1">
      <alignment horizontal="center"/>
    </xf>
    <xf numFmtId="0" fontId="3" fillId="6" borderId="15" xfId="0" applyFont="1" applyFill="1" applyBorder="1"/>
    <xf numFmtId="0" fontId="3" fillId="6" borderId="16" xfId="0" applyFont="1" applyFill="1" applyBorder="1"/>
    <xf numFmtId="9" fontId="14" fillId="0" borderId="20" xfId="2" applyFont="1" applyBorder="1" applyAlignment="1">
      <alignment horizontal="center"/>
    </xf>
    <xf numFmtId="9" fontId="14" fillId="0" borderId="23" xfId="2" applyFont="1" applyBorder="1" applyAlignment="1">
      <alignment horizontal="center"/>
    </xf>
    <xf numFmtId="0" fontId="29" fillId="9" borderId="1" xfId="3" applyFont="1" applyFill="1" applyBorder="1" applyAlignment="1">
      <alignment vertical="center"/>
    </xf>
    <xf numFmtId="0" fontId="0" fillId="0" borderId="41" xfId="0" applyBorder="1"/>
    <xf numFmtId="44" fontId="0" fillId="0" borderId="41" xfId="0" applyNumberFormat="1" applyBorder="1" applyAlignment="1">
      <alignment horizontal="center" vertical="center" wrapText="1"/>
    </xf>
    <xf numFmtId="44" fontId="14" fillId="0" borderId="41" xfId="1" applyFont="1" applyBorder="1" applyAlignment="1">
      <alignment horizontal="center" vertical="center" wrapText="1"/>
    </xf>
    <xf numFmtId="0" fontId="3" fillId="9" borderId="6" xfId="0" applyFont="1" applyFill="1" applyBorder="1"/>
    <xf numFmtId="9" fontId="0" fillId="0" borderId="0" xfId="2" applyFont="1"/>
    <xf numFmtId="0" fontId="30" fillId="0" borderId="0" xfId="0" applyFont="1"/>
    <xf numFmtId="0" fontId="0" fillId="0" borderId="31" xfId="0" applyBorder="1"/>
    <xf numFmtId="44" fontId="0" fillId="0" borderId="31" xfId="1" applyFont="1" applyBorder="1"/>
    <xf numFmtId="0" fontId="3" fillId="9" borderId="5" xfId="0" applyFont="1" applyFill="1" applyBorder="1" applyAlignment="1">
      <alignment horizontal="center" vertical="center" wrapText="1"/>
    </xf>
    <xf numFmtId="0" fontId="3" fillId="9" borderId="3" xfId="0" applyFont="1" applyFill="1" applyBorder="1" applyAlignment="1">
      <alignment horizontal="center" vertical="center" wrapText="1"/>
    </xf>
    <xf numFmtId="164" fontId="0" fillId="0" borderId="0" xfId="0" applyNumberFormat="1" applyAlignment="1">
      <alignment horizontal="center"/>
    </xf>
    <xf numFmtId="0" fontId="32" fillId="3" borderId="6" xfId="0" applyFont="1" applyFill="1" applyBorder="1" applyAlignment="1">
      <alignment horizontal="left" vertical="center" wrapText="1"/>
    </xf>
    <xf numFmtId="0" fontId="6" fillId="3" borderId="3" xfId="0" applyFont="1" applyFill="1" applyBorder="1" applyAlignment="1">
      <alignment horizontal="center" vertical="center" wrapText="1"/>
    </xf>
    <xf numFmtId="44" fontId="0" fillId="0" borderId="1" xfId="1" applyFont="1" applyBorder="1" applyAlignment="1">
      <alignment horizontal="center"/>
    </xf>
    <xf numFmtId="44" fontId="0" fillId="0" borderId="6" xfId="1" applyFont="1" applyBorder="1"/>
    <xf numFmtId="0" fontId="3" fillId="7" borderId="41" xfId="0" applyFont="1" applyFill="1" applyBorder="1" applyAlignment="1">
      <alignment horizontal="center" vertical="center" wrapText="1"/>
    </xf>
    <xf numFmtId="44" fontId="3" fillId="11" borderId="1" xfId="1" applyFont="1" applyFill="1" applyBorder="1"/>
    <xf numFmtId="9" fontId="0" fillId="9" borderId="0" xfId="2" applyFont="1" applyFill="1" applyAlignment="1">
      <alignment horizontal="center"/>
    </xf>
    <xf numFmtId="0" fontId="0" fillId="9" borderId="28" xfId="0" applyFill="1" applyBorder="1" applyAlignment="1">
      <alignment horizontal="center" vertical="center" wrapText="1"/>
    </xf>
    <xf numFmtId="0" fontId="0" fillId="11" borderId="12" xfId="0" applyFill="1" applyBorder="1"/>
    <xf numFmtId="0" fontId="2" fillId="0" borderId="0" xfId="3"/>
    <xf numFmtId="0" fontId="3" fillId="0" borderId="11" xfId="0" applyFont="1" applyBorder="1"/>
    <xf numFmtId="0" fontId="0" fillId="0" borderId="12" xfId="0" applyBorder="1"/>
    <xf numFmtId="0" fontId="3" fillId="11" borderId="6" xfId="0" applyFont="1" applyFill="1" applyBorder="1"/>
    <xf numFmtId="0" fontId="0" fillId="9" borderId="9" xfId="0" applyFill="1" applyBorder="1"/>
    <xf numFmtId="0" fontId="0" fillId="9" borderId="2" xfId="0" applyFill="1" applyBorder="1"/>
    <xf numFmtId="0" fontId="3" fillId="4" borderId="1" xfId="0" applyFont="1" applyFill="1" applyBorder="1"/>
    <xf numFmtId="0" fontId="12" fillId="6" borderId="6" xfId="0" applyFont="1" applyFill="1" applyBorder="1"/>
    <xf numFmtId="0" fontId="12" fillId="6" borderId="5" xfId="0" applyFont="1" applyFill="1" applyBorder="1"/>
    <xf numFmtId="0" fontId="3" fillId="15" borderId="37" xfId="0" applyFont="1" applyFill="1" applyBorder="1" applyAlignment="1">
      <alignment horizontal="center" vertical="center" wrapText="1"/>
    </xf>
    <xf numFmtId="3" fontId="0" fillId="0" borderId="30" xfId="0" applyNumberFormat="1" applyBorder="1" applyAlignment="1">
      <alignment horizontal="center"/>
    </xf>
    <xf numFmtId="3" fontId="0" fillId="0" borderId="36" xfId="0" applyNumberFormat="1" applyBorder="1" applyAlignment="1">
      <alignment horizontal="center"/>
    </xf>
    <xf numFmtId="0" fontId="3" fillId="0" borderId="25" xfId="0" applyFont="1" applyBorder="1" applyAlignment="1">
      <alignment horizontal="center" vertical="center" wrapText="1"/>
    </xf>
    <xf numFmtId="0" fontId="3" fillId="9" borderId="11" xfId="0" applyFont="1" applyFill="1" applyBorder="1"/>
    <xf numFmtId="0" fontId="3" fillId="9" borderId="12" xfId="0" applyFont="1" applyFill="1" applyBorder="1"/>
    <xf numFmtId="165" fontId="0" fillId="0" borderId="35" xfId="1" applyNumberFormat="1" applyFont="1" applyBorder="1"/>
    <xf numFmtId="165" fontId="0" fillId="0" borderId="27" xfId="1" applyNumberFormat="1" applyFont="1" applyBorder="1"/>
    <xf numFmtId="44" fontId="0" fillId="0" borderId="24" xfId="1" applyFont="1" applyBorder="1"/>
    <xf numFmtId="44" fontId="0" fillId="0" borderId="21" xfId="1" applyFont="1" applyBorder="1"/>
    <xf numFmtId="0" fontId="3" fillId="16" borderId="19" xfId="0" applyFont="1" applyFill="1" applyBorder="1" applyAlignment="1">
      <alignment horizontal="center" vertical="center" wrapText="1"/>
    </xf>
    <xf numFmtId="0" fontId="3" fillId="16" borderId="9" xfId="0" applyFont="1" applyFill="1" applyBorder="1" applyAlignment="1">
      <alignment horizontal="center" vertical="center"/>
    </xf>
    <xf numFmtId="0" fontId="3" fillId="8" borderId="19" xfId="0" applyFont="1" applyFill="1" applyBorder="1" applyAlignment="1">
      <alignment horizontal="center" vertical="center" wrapText="1"/>
    </xf>
    <xf numFmtId="0" fontId="0" fillId="0" borderId="0" xfId="0" applyAlignment="1">
      <alignment vertical="center" wrapText="1"/>
    </xf>
    <xf numFmtId="0" fontId="3" fillId="0" borderId="0" xfId="0" applyFont="1" applyAlignment="1">
      <alignment vertical="center" wrapText="1"/>
    </xf>
    <xf numFmtId="0" fontId="0" fillId="7" borderId="1" xfId="0" applyFill="1" applyBorder="1" applyAlignment="1">
      <alignment vertical="center" wrapText="1"/>
    </xf>
    <xf numFmtId="0" fontId="6" fillId="3" borderId="1" xfId="0" applyFont="1" applyFill="1" applyBorder="1" applyAlignment="1">
      <alignment vertical="center" wrapText="1"/>
    </xf>
    <xf numFmtId="0" fontId="0" fillId="17" borderId="1" xfId="0" applyFill="1" applyBorder="1" applyAlignment="1">
      <alignment vertical="center" wrapText="1"/>
    </xf>
    <xf numFmtId="0" fontId="6" fillId="0" borderId="1" xfId="0" applyFont="1" applyBorder="1" applyAlignment="1">
      <alignment vertical="center" wrapText="1"/>
    </xf>
    <xf numFmtId="165" fontId="0" fillId="0" borderId="7" xfId="1" applyNumberFormat="1" applyFont="1" applyBorder="1"/>
    <xf numFmtId="0" fontId="26" fillId="14" borderId="41" xfId="0" applyFont="1" applyFill="1" applyBorder="1" applyAlignment="1">
      <alignment horizontal="center" wrapText="1"/>
    </xf>
    <xf numFmtId="0" fontId="25" fillId="0" borderId="1" xfId="0" applyFont="1" applyBorder="1"/>
    <xf numFmtId="0" fontId="3" fillId="0" borderId="12" xfId="0" applyFont="1" applyBorder="1"/>
    <xf numFmtId="0" fontId="3" fillId="8" borderId="9" xfId="0" applyFont="1" applyFill="1" applyBorder="1" applyAlignment="1">
      <alignment horizontal="center" vertical="center"/>
    </xf>
    <xf numFmtId="165" fontId="0" fillId="0" borderId="8" xfId="0" applyNumberFormat="1" applyBorder="1"/>
    <xf numFmtId="0" fontId="0" fillId="6" borderId="3" xfId="0" applyFill="1" applyBorder="1"/>
    <xf numFmtId="165" fontId="4" fillId="0" borderId="8" xfId="0" applyNumberFormat="1" applyFont="1" applyBorder="1"/>
    <xf numFmtId="0" fontId="0" fillId="11" borderId="38" xfId="0" applyFill="1" applyBorder="1"/>
    <xf numFmtId="44" fontId="3" fillId="0" borderId="0" xfId="0" applyNumberFormat="1" applyFont="1"/>
    <xf numFmtId="0" fontId="28" fillId="0" borderId="0" xfId="0" applyFont="1"/>
    <xf numFmtId="165" fontId="4" fillId="0" borderId="0" xfId="0" applyNumberFormat="1" applyFont="1" applyAlignment="1">
      <alignment horizontal="center" vertical="center" wrapText="1"/>
    </xf>
    <xf numFmtId="44" fontId="14" fillId="0" borderId="31" xfId="1" applyFont="1" applyBorder="1" applyAlignment="1">
      <alignment horizontal="center" vertical="center" wrapText="1"/>
    </xf>
    <xf numFmtId="165" fontId="4" fillId="0" borderId="0" xfId="1" applyNumberFormat="1" applyFont="1"/>
    <xf numFmtId="0" fontId="0" fillId="0" borderId="3" xfId="0" applyBorder="1"/>
    <xf numFmtId="0" fontId="3" fillId="2" borderId="44" xfId="0" applyFont="1" applyFill="1" applyBorder="1" applyAlignment="1">
      <alignment vertical="center"/>
    </xf>
    <xf numFmtId="0" fontId="0" fillId="2" borderId="48" xfId="0" applyFill="1" applyBorder="1" applyAlignment="1">
      <alignment vertical="center" wrapText="1"/>
    </xf>
    <xf numFmtId="0" fontId="0" fillId="2" borderId="49" xfId="0" applyFill="1" applyBorder="1" applyAlignment="1">
      <alignment vertical="center"/>
    </xf>
    <xf numFmtId="0" fontId="5" fillId="3" borderId="50" xfId="0" applyFont="1" applyFill="1" applyBorder="1" applyAlignment="1">
      <alignment vertical="center"/>
    </xf>
    <xf numFmtId="0" fontId="6" fillId="3" borderId="46" xfId="0" applyFont="1" applyFill="1" applyBorder="1" applyAlignment="1">
      <alignment vertical="center"/>
    </xf>
    <xf numFmtId="0" fontId="6" fillId="0" borderId="46" xfId="0" applyFont="1" applyBorder="1" applyAlignment="1">
      <alignment vertical="center"/>
    </xf>
    <xf numFmtId="0" fontId="37" fillId="0" borderId="50" xfId="0" applyFont="1" applyBorder="1" applyAlignment="1">
      <alignment vertical="center"/>
    </xf>
    <xf numFmtId="0" fontId="3" fillId="7" borderId="50" xfId="0" applyFont="1" applyFill="1" applyBorder="1" applyAlignment="1">
      <alignment vertical="center"/>
    </xf>
    <xf numFmtId="0" fontId="0" fillId="7" borderId="46" xfId="0" applyFill="1" applyBorder="1" applyAlignment="1">
      <alignment vertical="center"/>
    </xf>
    <xf numFmtId="0" fontId="3" fillId="17" borderId="50" xfId="0" applyFont="1" applyFill="1" applyBorder="1" applyAlignment="1">
      <alignment vertical="center"/>
    </xf>
    <xf numFmtId="0" fontId="0" fillId="17" borderId="46" xfId="0" applyFill="1" applyBorder="1" applyAlignment="1">
      <alignment vertical="center"/>
    </xf>
    <xf numFmtId="0" fontId="4" fillId="0" borderId="0" xfId="0" applyFont="1" applyAlignment="1">
      <alignment horizontal="center" vertical="center" wrapText="1"/>
    </xf>
    <xf numFmtId="0" fontId="4" fillId="0" borderId="0" xfId="0" applyFont="1" applyAlignment="1">
      <alignment horizontal="center" vertical="center"/>
    </xf>
    <xf numFmtId="9" fontId="0" fillId="0" borderId="0" xfId="0" applyNumberFormat="1"/>
    <xf numFmtId="44" fontId="0" fillId="0" borderId="7" xfId="1" applyFont="1" applyBorder="1"/>
    <xf numFmtId="165" fontId="0" fillId="0" borderId="45" xfId="1" applyNumberFormat="1" applyFont="1" applyBorder="1"/>
    <xf numFmtId="0" fontId="3" fillId="11" borderId="1" xfId="0" applyFont="1" applyFill="1" applyBorder="1"/>
    <xf numFmtId="0" fontId="3" fillId="11" borderId="3" xfId="0" applyFont="1" applyFill="1" applyBorder="1"/>
    <xf numFmtId="44" fontId="3" fillId="11" borderId="1" xfId="1" applyFont="1" applyFill="1" applyBorder="1" applyAlignment="1">
      <alignment horizontal="center"/>
    </xf>
    <xf numFmtId="9" fontId="3" fillId="11" borderId="1" xfId="2" applyFont="1" applyFill="1" applyBorder="1" applyAlignment="1">
      <alignment horizontal="center"/>
    </xf>
    <xf numFmtId="165" fontId="3" fillId="0" borderId="1" xfId="1" applyNumberFormat="1" applyFont="1" applyBorder="1"/>
    <xf numFmtId="0" fontId="0" fillId="0" borderId="1" xfId="0" applyBorder="1" applyAlignment="1">
      <alignment vertical="center"/>
    </xf>
    <xf numFmtId="44" fontId="0" fillId="0" borderId="1" xfId="1" applyFont="1" applyFill="1" applyBorder="1" applyAlignment="1">
      <alignment horizontal="center" vertical="center" wrapText="1"/>
    </xf>
    <xf numFmtId="44" fontId="3" fillId="11" borderId="1" xfId="1" applyFont="1" applyFill="1" applyBorder="1" applyAlignment="1">
      <alignment horizontal="right"/>
    </xf>
    <xf numFmtId="9" fontId="3" fillId="11" borderId="1" xfId="2" applyFont="1" applyFill="1" applyBorder="1" applyAlignment="1">
      <alignment horizontal="right"/>
    </xf>
    <xf numFmtId="44" fontId="3" fillId="4" borderId="1" xfId="1" applyFont="1" applyFill="1" applyBorder="1" applyAlignment="1">
      <alignment horizontal="center" wrapText="1"/>
    </xf>
    <xf numFmtId="165" fontId="0" fillId="0" borderId="45" xfId="1" applyNumberFormat="1" applyFont="1" applyFill="1" applyBorder="1"/>
    <xf numFmtId="169" fontId="3" fillId="6" borderId="29" xfId="2" applyNumberFormat="1" applyFont="1" applyFill="1" applyBorder="1"/>
    <xf numFmtId="169" fontId="3" fillId="11" borderId="18" xfId="2" applyNumberFormat="1" applyFont="1" applyFill="1" applyBorder="1"/>
    <xf numFmtId="9" fontId="0" fillId="0" borderId="1" xfId="2" applyFont="1" applyFill="1" applyBorder="1"/>
    <xf numFmtId="44" fontId="3" fillId="0" borderId="1" xfId="1" applyFont="1" applyFill="1" applyBorder="1" applyAlignment="1">
      <alignment horizontal="center" wrapText="1"/>
    </xf>
    <xf numFmtId="9" fontId="0" fillId="0" borderId="1" xfId="0" applyNumberFormat="1" applyBorder="1" applyAlignment="1">
      <alignment horizontal="right"/>
    </xf>
    <xf numFmtId="9" fontId="0" fillId="0" borderId="1" xfId="2" applyFont="1" applyFill="1" applyBorder="1" applyAlignment="1">
      <alignment horizontal="right"/>
    </xf>
    <xf numFmtId="165" fontId="38" fillId="9" borderId="41" xfId="1" applyNumberFormat="1" applyFont="1" applyFill="1" applyBorder="1"/>
    <xf numFmtId="165" fontId="3" fillId="6" borderId="17" xfId="0" applyNumberFormat="1" applyFont="1" applyFill="1" applyBorder="1"/>
    <xf numFmtId="0" fontId="39" fillId="19" borderId="14" xfId="0" applyFont="1" applyFill="1" applyBorder="1"/>
    <xf numFmtId="0" fontId="18" fillId="19" borderId="16" xfId="0" applyFont="1" applyFill="1" applyBorder="1"/>
    <xf numFmtId="0" fontId="18" fillId="9" borderId="42" xfId="0" applyFont="1" applyFill="1" applyBorder="1"/>
    <xf numFmtId="44" fontId="18" fillId="0" borderId="43" xfId="0" applyNumberFormat="1" applyFont="1" applyBorder="1"/>
    <xf numFmtId="0" fontId="18" fillId="9" borderId="24" xfId="0" applyFont="1" applyFill="1" applyBorder="1"/>
    <xf numFmtId="44" fontId="18" fillId="0" borderId="35" xfId="0" applyNumberFormat="1" applyFont="1" applyBorder="1"/>
    <xf numFmtId="0" fontId="18" fillId="9" borderId="21" xfId="0" applyFont="1" applyFill="1" applyBorder="1"/>
    <xf numFmtId="44" fontId="18" fillId="0" borderId="27" xfId="0" applyNumberFormat="1" applyFont="1" applyBorder="1"/>
    <xf numFmtId="0" fontId="18" fillId="9" borderId="25" xfId="0" applyFont="1" applyFill="1" applyBorder="1"/>
    <xf numFmtId="44" fontId="40" fillId="9" borderId="30" xfId="1" applyFont="1" applyFill="1" applyBorder="1" applyAlignment="1">
      <alignment horizontal="center"/>
    </xf>
    <xf numFmtId="44" fontId="18" fillId="0" borderId="26" xfId="1" applyFont="1" applyBorder="1"/>
    <xf numFmtId="9" fontId="18" fillId="0" borderId="0" xfId="2" applyFont="1" applyBorder="1" applyAlignment="1">
      <alignment horizontal="center" vertical="center"/>
    </xf>
    <xf numFmtId="44" fontId="18" fillId="15" borderId="0" xfId="1" applyFont="1" applyFill="1" applyBorder="1"/>
    <xf numFmtId="0" fontId="18" fillId="9" borderId="30" xfId="0" applyFont="1" applyFill="1" applyBorder="1"/>
    <xf numFmtId="0" fontId="18" fillId="9" borderId="36" xfId="0" applyFont="1" applyFill="1" applyBorder="1"/>
    <xf numFmtId="44" fontId="40" fillId="9" borderId="36" xfId="1" applyFont="1" applyFill="1" applyBorder="1" applyAlignment="1">
      <alignment horizontal="center"/>
    </xf>
    <xf numFmtId="44" fontId="18" fillId="0" borderId="32" xfId="1" applyFont="1" applyBorder="1"/>
    <xf numFmtId="44" fontId="18" fillId="0" borderId="22" xfId="1" applyFont="1" applyBorder="1"/>
    <xf numFmtId="44" fontId="18" fillId="15" borderId="22" xfId="1" applyFont="1" applyFill="1" applyBorder="1"/>
    <xf numFmtId="9" fontId="18" fillId="0" borderId="22" xfId="2" applyFont="1" applyBorder="1" applyAlignment="1">
      <alignment horizontal="center" vertical="center"/>
    </xf>
    <xf numFmtId="0" fontId="3" fillId="9" borderId="15" xfId="0" applyFont="1" applyFill="1" applyBorder="1"/>
    <xf numFmtId="165" fontId="0" fillId="0" borderId="41" xfId="1" applyNumberFormat="1" applyFont="1" applyBorder="1"/>
    <xf numFmtId="165" fontId="3" fillId="0" borderId="8" xfId="0" applyNumberFormat="1" applyFont="1" applyBorder="1"/>
    <xf numFmtId="0" fontId="3" fillId="11" borderId="11" xfId="0" applyFont="1" applyFill="1" applyBorder="1"/>
    <xf numFmtId="0" fontId="3" fillId="11" borderId="12" xfId="0" applyFont="1" applyFill="1" applyBorder="1"/>
    <xf numFmtId="0" fontId="4" fillId="11" borderId="12" xfId="0" applyFont="1" applyFill="1" applyBorder="1"/>
    <xf numFmtId="165" fontId="3" fillId="11" borderId="38" xfId="0" applyNumberFormat="1" applyFont="1" applyFill="1" applyBorder="1"/>
    <xf numFmtId="0" fontId="12" fillId="11" borderId="12" xfId="0" applyFont="1" applyFill="1" applyBorder="1"/>
    <xf numFmtId="165" fontId="12" fillId="11" borderId="38" xfId="0" applyNumberFormat="1" applyFont="1" applyFill="1" applyBorder="1"/>
    <xf numFmtId="0" fontId="3" fillId="0" borderId="26" xfId="0" applyFont="1" applyBorder="1"/>
    <xf numFmtId="0" fontId="3" fillId="21" borderId="9" xfId="0" applyFont="1" applyFill="1" applyBorder="1" applyAlignment="1">
      <alignment horizontal="centerContinuous"/>
    </xf>
    <xf numFmtId="10" fontId="14" fillId="9" borderId="0" xfId="2" applyNumberFormat="1" applyFont="1" applyFill="1" applyAlignment="1">
      <alignment horizontal="right"/>
    </xf>
    <xf numFmtId="0" fontId="3" fillId="7" borderId="9" xfId="0" applyFont="1" applyFill="1" applyBorder="1" applyAlignment="1">
      <alignment horizontal="centerContinuous"/>
    </xf>
    <xf numFmtId="165" fontId="31" fillId="0" borderId="0" xfId="1" applyNumberFormat="1" applyFont="1"/>
    <xf numFmtId="0" fontId="10" fillId="0" borderId="0" xfId="0" applyFont="1" applyAlignment="1">
      <alignment horizontal="center" vertical="center"/>
    </xf>
    <xf numFmtId="165" fontId="4" fillId="0" borderId="20" xfId="0" applyNumberFormat="1" applyFont="1" applyBorder="1"/>
    <xf numFmtId="0" fontId="33" fillId="0" borderId="0" xfId="0" applyFont="1"/>
    <xf numFmtId="0" fontId="34" fillId="0" borderId="0" xfId="0" applyFont="1"/>
    <xf numFmtId="0" fontId="35" fillId="0" borderId="0" xfId="0" applyFont="1"/>
    <xf numFmtId="0" fontId="26" fillId="14" borderId="41" xfId="0" applyFont="1" applyFill="1" applyBorder="1" applyAlignment="1">
      <alignment vertical="center"/>
    </xf>
    <xf numFmtId="0" fontId="3" fillId="11" borderId="1" xfId="0" applyFont="1" applyFill="1" applyBorder="1" applyAlignment="1">
      <alignment horizontal="center" vertical="center" wrapText="1"/>
    </xf>
    <xf numFmtId="0" fontId="41" fillId="0" borderId="0" xfId="0" applyFont="1"/>
    <xf numFmtId="0" fontId="41" fillId="0" borderId="0" xfId="0" applyFont="1" applyAlignment="1">
      <alignment horizontal="center"/>
    </xf>
    <xf numFmtId="0" fontId="3" fillId="11" borderId="28" xfId="0" applyFont="1" applyFill="1" applyBorder="1"/>
    <xf numFmtId="0" fontId="3" fillId="11" borderId="18" xfId="0" applyFont="1" applyFill="1" applyBorder="1" applyAlignment="1">
      <alignment horizontal="center" vertical="center" wrapText="1"/>
    </xf>
    <xf numFmtId="0" fontId="3" fillId="9" borderId="38" xfId="0" applyFont="1" applyFill="1" applyBorder="1" applyAlignment="1">
      <alignment horizontal="center" vertical="center" wrapText="1"/>
    </xf>
    <xf numFmtId="0" fontId="3" fillId="9" borderId="29" xfId="0" applyFont="1" applyFill="1" applyBorder="1" applyAlignment="1">
      <alignment horizontal="center" vertical="center" wrapText="1"/>
    </xf>
    <xf numFmtId="0" fontId="3" fillId="9" borderId="18" xfId="0" applyFont="1" applyFill="1" applyBorder="1" applyAlignment="1">
      <alignment horizontal="center" vertical="center" wrapText="1"/>
    </xf>
    <xf numFmtId="165" fontId="0" fillId="0" borderId="20" xfId="0" applyNumberFormat="1" applyBorder="1"/>
    <xf numFmtId="165" fontId="3" fillId="0" borderId="20" xfId="0" applyNumberFormat="1" applyFont="1" applyBorder="1"/>
    <xf numFmtId="0" fontId="4" fillId="0" borderId="26" xfId="0" applyFont="1" applyBorder="1" applyAlignment="1">
      <alignment horizontal="left" indent="1"/>
    </xf>
    <xf numFmtId="165" fontId="4" fillId="0" borderId="0" xfId="0" applyNumberFormat="1" applyFont="1"/>
    <xf numFmtId="0" fontId="4" fillId="0" borderId="32" xfId="0" applyFont="1" applyBorder="1" applyAlignment="1">
      <alignment horizontal="left" indent="1"/>
    </xf>
    <xf numFmtId="165" fontId="4" fillId="0" borderId="23" xfId="0" applyNumberFormat="1" applyFont="1" applyBorder="1"/>
    <xf numFmtId="165" fontId="4" fillId="0" borderId="22" xfId="0" applyNumberFormat="1" applyFont="1" applyBorder="1"/>
    <xf numFmtId="0" fontId="36" fillId="18" borderId="0" xfId="0" applyFont="1" applyFill="1"/>
    <xf numFmtId="0" fontId="42" fillId="18" borderId="0" xfId="0" applyFont="1" applyFill="1"/>
    <xf numFmtId="0" fontId="5" fillId="22" borderId="1" xfId="0" applyFont="1" applyFill="1" applyBorder="1" applyAlignment="1">
      <alignment horizontal="center" vertical="center" wrapText="1"/>
    </xf>
    <xf numFmtId="2" fontId="14" fillId="0" borderId="0" xfId="4" applyNumberFormat="1" applyFont="1" applyAlignment="1">
      <alignment horizontal="center" vertical="center"/>
    </xf>
    <xf numFmtId="2" fontId="0" fillId="0" borderId="0" xfId="4" applyNumberFormat="1" applyFont="1" applyAlignment="1">
      <alignment horizontal="center" vertical="center"/>
    </xf>
    <xf numFmtId="165" fontId="14" fillId="0" borderId="0" xfId="1" applyNumberFormat="1" applyFont="1"/>
    <xf numFmtId="165" fontId="1" fillId="0" borderId="0" xfId="1" applyNumberFormat="1" applyFont="1"/>
    <xf numFmtId="0" fontId="3" fillId="0" borderId="51" xfId="0" applyFont="1" applyBorder="1"/>
    <xf numFmtId="165" fontId="3" fillId="0" borderId="51" xfId="1" applyNumberFormat="1" applyFont="1" applyBorder="1"/>
    <xf numFmtId="9" fontId="4" fillId="0" borderId="0" xfId="2" applyFont="1"/>
    <xf numFmtId="0" fontId="42" fillId="23" borderId="0" xfId="0" applyFont="1" applyFill="1"/>
    <xf numFmtId="0" fontId="5" fillId="24" borderId="1" xfId="0" applyFont="1" applyFill="1" applyBorder="1" applyAlignment="1">
      <alignment horizontal="center" vertical="center" wrapText="1"/>
    </xf>
    <xf numFmtId="0" fontId="36" fillId="23" borderId="0" xfId="0" applyFont="1" applyFill="1"/>
    <xf numFmtId="9" fontId="7" fillId="0" borderId="0" xfId="0" applyNumberFormat="1" applyFont="1"/>
    <xf numFmtId="0" fontId="3" fillId="11" borderId="28" xfId="0" applyFont="1" applyFill="1" applyBorder="1" applyAlignment="1">
      <alignment vertical="center"/>
    </xf>
    <xf numFmtId="0" fontId="12" fillId="20" borderId="11" xfId="0" applyFont="1" applyFill="1" applyBorder="1" applyAlignment="1">
      <alignment horizontal="center"/>
    </xf>
    <xf numFmtId="0" fontId="12" fillId="20" borderId="12" xfId="0" applyFont="1" applyFill="1" applyBorder="1" applyAlignment="1">
      <alignment horizontal="center"/>
    </xf>
    <xf numFmtId="0" fontId="12" fillId="20" borderId="13" xfId="0" applyFont="1" applyFill="1" applyBorder="1" applyAlignment="1">
      <alignment horizontal="center"/>
    </xf>
    <xf numFmtId="0" fontId="21" fillId="17" borderId="50" xfId="0" applyFont="1" applyFill="1" applyBorder="1" applyAlignment="1">
      <alignment vertical="center"/>
    </xf>
    <xf numFmtId="0" fontId="20" fillId="17" borderId="1" xfId="0" applyFont="1" applyFill="1" applyBorder="1" applyAlignment="1">
      <alignment vertical="center" wrapText="1"/>
    </xf>
    <xf numFmtId="0" fontId="20" fillId="17" borderId="46" xfId="0" applyFont="1" applyFill="1" applyBorder="1" applyAlignment="1">
      <alignment vertical="center"/>
    </xf>
    <xf numFmtId="0" fontId="6" fillId="3" borderId="46" xfId="0" applyFont="1" applyFill="1" applyBorder="1" applyAlignment="1">
      <alignment vertical="center" wrapText="1"/>
    </xf>
    <xf numFmtId="0" fontId="0" fillId="0" borderId="45" xfId="0" applyBorder="1"/>
    <xf numFmtId="0" fontId="0" fillId="11" borderId="29" xfId="0" applyFill="1" applyBorder="1"/>
    <xf numFmtId="165" fontId="0" fillId="0" borderId="45" xfId="0" applyNumberFormat="1" applyBorder="1"/>
    <xf numFmtId="165" fontId="3" fillId="11" borderId="29" xfId="0" applyNumberFormat="1" applyFont="1" applyFill="1" applyBorder="1"/>
    <xf numFmtId="44" fontId="38" fillId="0" borderId="41" xfId="1" applyFont="1" applyFill="1" applyBorder="1" applyAlignment="1">
      <alignment horizontal="center"/>
    </xf>
    <xf numFmtId="44" fontId="20" fillId="0" borderId="41" xfId="1" applyFont="1" applyFill="1" applyBorder="1" applyAlignment="1">
      <alignment horizontal="center"/>
    </xf>
    <xf numFmtId="165" fontId="20" fillId="9" borderId="41" xfId="1" applyNumberFormat="1" applyFont="1" applyFill="1" applyBorder="1"/>
    <xf numFmtId="165" fontId="0" fillId="0" borderId="52" xfId="1" applyNumberFormat="1" applyFont="1" applyBorder="1"/>
    <xf numFmtId="44" fontId="0" fillId="0" borderId="0" xfId="1" applyFont="1" applyBorder="1"/>
    <xf numFmtId="9" fontId="3" fillId="0" borderId="0" xfId="2" applyFont="1" applyBorder="1"/>
    <xf numFmtId="0" fontId="20" fillId="3" borderId="0" xfId="0" applyFont="1" applyFill="1" applyAlignment="1">
      <alignment horizontal="center"/>
    </xf>
    <xf numFmtId="44" fontId="17" fillId="3" borderId="0" xfId="0" applyNumberFormat="1" applyFont="1" applyFill="1"/>
    <xf numFmtId="0" fontId="0" fillId="0" borderId="0" xfId="0" applyAlignment="1">
      <alignment horizontal="center" vertical="center"/>
    </xf>
    <xf numFmtId="4" fontId="3" fillId="0" borderId="2" xfId="0" applyNumberFormat="1" applyFont="1" applyBorder="1" applyAlignment="1">
      <alignment horizontal="center" vertical="center"/>
    </xf>
    <xf numFmtId="0" fontId="43" fillId="0" borderId="0" xfId="0" applyFont="1" applyAlignment="1">
      <alignment horizontal="center" vertical="center"/>
    </xf>
    <xf numFmtId="0" fontId="6" fillId="3" borderId="0" xfId="0" applyFont="1" applyFill="1" applyAlignment="1">
      <alignment horizontal="center" vertical="center"/>
    </xf>
    <xf numFmtId="0" fontId="6" fillId="0" borderId="0" xfId="0" applyFont="1" applyAlignment="1">
      <alignment horizontal="center" vertical="center"/>
    </xf>
    <xf numFmtId="0" fontId="20" fillId="0" borderId="0" xfId="0" applyFont="1" applyAlignment="1">
      <alignment horizontal="center" vertical="center"/>
    </xf>
    <xf numFmtId="44" fontId="17" fillId="0" borderId="0" xfId="0" applyNumberFormat="1" applyFont="1" applyAlignment="1">
      <alignment horizontal="center" vertical="center"/>
    </xf>
    <xf numFmtId="0" fontId="3" fillId="0" borderId="1" xfId="0" applyFont="1" applyBorder="1" applyAlignment="1">
      <alignment horizontal="center" vertical="center"/>
    </xf>
    <xf numFmtId="0" fontId="0" fillId="0" borderId="4" xfId="0" applyBorder="1"/>
    <xf numFmtId="167" fontId="20" fillId="9" borderId="1" xfId="0" applyNumberFormat="1" applyFont="1" applyFill="1" applyBorder="1" applyAlignment="1">
      <alignment horizontal="center" vertical="center"/>
    </xf>
    <xf numFmtId="2" fontId="14" fillId="0" borderId="1" xfId="0" applyNumberFormat="1" applyFont="1" applyBorder="1" applyAlignment="1">
      <alignment horizontal="center" vertical="center"/>
    </xf>
    <xf numFmtId="167" fontId="14" fillId="9" borderId="1" xfId="0" applyNumberFormat="1" applyFont="1" applyFill="1" applyBorder="1" applyAlignment="1">
      <alignment horizontal="center" vertical="center"/>
    </xf>
    <xf numFmtId="169" fontId="0" fillId="0" borderId="0" xfId="2" applyNumberFormat="1" applyFont="1" applyFill="1" applyAlignment="1">
      <alignment horizontal="right"/>
    </xf>
    <xf numFmtId="0" fontId="18" fillId="13" borderId="6" xfId="0" applyFont="1" applyFill="1" applyBorder="1"/>
    <xf numFmtId="165" fontId="3" fillId="0" borderId="0" xfId="1" applyNumberFormat="1" applyFont="1" applyFill="1" applyAlignment="1">
      <alignment horizontal="center"/>
    </xf>
    <xf numFmtId="0" fontId="3" fillId="11" borderId="12" xfId="0" applyFont="1" applyFill="1" applyBorder="1" applyAlignment="1">
      <alignment horizontal="center" vertical="center"/>
    </xf>
    <xf numFmtId="9" fontId="14" fillId="0" borderId="1" xfId="2" applyFont="1" applyFill="1" applyBorder="1" applyAlignment="1">
      <alignment horizontal="center" vertical="center"/>
    </xf>
    <xf numFmtId="165" fontId="14" fillId="0" borderId="1" xfId="1" applyNumberFormat="1" applyFont="1" applyBorder="1" applyAlignment="1">
      <alignment wrapText="1"/>
    </xf>
    <xf numFmtId="44" fontId="14" fillId="0" borderId="1" xfId="0" applyNumberFormat="1" applyFont="1" applyBorder="1" applyAlignment="1">
      <alignment horizontal="center" vertical="center" wrapText="1"/>
    </xf>
    <xf numFmtId="44" fontId="14" fillId="10" borderId="1" xfId="1" applyFont="1" applyFill="1" applyBorder="1" applyAlignment="1">
      <alignment horizontal="center" vertical="center" wrapText="1"/>
    </xf>
    <xf numFmtId="44" fontId="14" fillId="5" borderId="1" xfId="1" applyFont="1" applyFill="1" applyBorder="1" applyAlignment="1">
      <alignment horizontal="center" vertical="center" wrapText="1"/>
    </xf>
    <xf numFmtId="0" fontId="14" fillId="0" borderId="1" xfId="0" applyFont="1" applyBorder="1" applyAlignment="1">
      <alignment horizontal="center"/>
    </xf>
    <xf numFmtId="0" fontId="14" fillId="0" borderId="1" xfId="0" applyFont="1" applyBorder="1" applyAlignment="1">
      <alignment horizontal="center" vertical="center" wrapText="1"/>
    </xf>
    <xf numFmtId="9" fontId="14" fillId="0" borderId="1" xfId="2" applyFont="1" applyBorder="1" applyAlignment="1">
      <alignment horizontal="center" vertical="center" wrapText="1"/>
    </xf>
    <xf numFmtId="0" fontId="44" fillId="0" borderId="1" xfId="0" applyFont="1" applyBorder="1" applyAlignment="1">
      <alignment horizontal="center"/>
    </xf>
    <xf numFmtId="44" fontId="18" fillId="15" borderId="20" xfId="1" applyFont="1" applyFill="1" applyBorder="1"/>
    <xf numFmtId="44" fontId="18" fillId="15" borderId="23" xfId="1" applyFont="1" applyFill="1" applyBorder="1"/>
    <xf numFmtId="0" fontId="3" fillId="11" borderId="38" xfId="0" applyFont="1" applyFill="1" applyBorder="1" applyAlignment="1">
      <alignment horizontal="center" wrapText="1"/>
    </xf>
    <xf numFmtId="0" fontId="3" fillId="11" borderId="11" xfId="0" applyFont="1" applyFill="1" applyBorder="1" applyAlignment="1">
      <alignment horizontal="left" vertical="center"/>
    </xf>
    <xf numFmtId="0" fontId="3" fillId="11" borderId="29" xfId="0" applyFont="1" applyFill="1" applyBorder="1" applyAlignment="1">
      <alignment horizontal="center" vertical="center"/>
    </xf>
    <xf numFmtId="0" fontId="10" fillId="0" borderId="0" xfId="0" applyFont="1" applyAlignment="1">
      <alignment horizontal="left" vertical="center"/>
    </xf>
    <xf numFmtId="169" fontId="20" fillId="9" borderId="0" xfId="2" applyNumberFormat="1" applyFont="1" applyFill="1" applyAlignment="1">
      <alignment horizontal="right"/>
    </xf>
    <xf numFmtId="0" fontId="45" fillId="0" borderId="0" xfId="0" applyFont="1"/>
    <xf numFmtId="0" fontId="3" fillId="8" borderId="47" xfId="0" applyFont="1" applyFill="1" applyBorder="1" applyAlignment="1">
      <alignment horizontal="center" vertical="center"/>
    </xf>
    <xf numFmtId="0" fontId="3" fillId="9" borderId="13" xfId="0" applyFont="1" applyFill="1" applyBorder="1"/>
    <xf numFmtId="165" fontId="0" fillId="0" borderId="35" xfId="1" applyNumberFormat="1" applyFont="1" applyFill="1" applyBorder="1"/>
    <xf numFmtId="0" fontId="3" fillId="9" borderId="16" xfId="0" applyFont="1" applyFill="1" applyBorder="1"/>
    <xf numFmtId="165" fontId="0" fillId="0" borderId="53" xfId="1" applyNumberFormat="1" applyFont="1" applyBorder="1"/>
    <xf numFmtId="0" fontId="0" fillId="0" borderId="23" xfId="0" applyBorder="1"/>
    <xf numFmtId="0" fontId="3" fillId="6" borderId="1" xfId="0" applyFont="1" applyFill="1" applyBorder="1" applyAlignment="1">
      <alignment horizontal="center" vertical="center"/>
    </xf>
    <xf numFmtId="0" fontId="3" fillId="0" borderId="6" xfId="0" applyFont="1" applyBorder="1" applyAlignment="1">
      <alignment horizontal="centerContinuous" vertical="center" wrapText="1"/>
    </xf>
    <xf numFmtId="0" fontId="3" fillId="0" borderId="5" xfId="0" applyFont="1" applyBorder="1" applyAlignment="1">
      <alignment horizontal="centerContinuous" vertical="center" wrapText="1"/>
    </xf>
    <xf numFmtId="0" fontId="3" fillId="0" borderId="3" xfId="0" applyFont="1" applyBorder="1" applyAlignment="1">
      <alignment horizontal="centerContinuous" vertical="center" wrapText="1"/>
    </xf>
    <xf numFmtId="0" fontId="12" fillId="0" borderId="6" xfId="0" applyFont="1" applyBorder="1" applyAlignment="1">
      <alignment horizontal="centerContinuous" vertical="center" wrapText="1"/>
    </xf>
    <xf numFmtId="0" fontId="12" fillId="0" borderId="5" xfId="0" applyFont="1" applyBorder="1" applyAlignment="1">
      <alignment horizontal="centerContinuous" vertical="center" wrapText="1"/>
    </xf>
    <xf numFmtId="0" fontId="12" fillId="0" borderId="3" xfId="0" applyFont="1" applyBorder="1" applyAlignment="1">
      <alignment horizontal="centerContinuous" vertical="center" wrapText="1"/>
    </xf>
    <xf numFmtId="44" fontId="20" fillId="0" borderId="1" xfId="1" applyFont="1" applyBorder="1"/>
    <xf numFmtId="165" fontId="1" fillId="0" borderId="1" xfId="1" applyNumberFormat="1" applyFont="1" applyBorder="1"/>
    <xf numFmtId="9" fontId="0" fillId="2" borderId="0" xfId="2" applyFont="1" applyFill="1" applyAlignment="1" applyProtection="1">
      <alignment horizontal="right" vertical="center"/>
      <protection locked="0"/>
    </xf>
    <xf numFmtId="165" fontId="0" fillId="2" borderId="0" xfId="1" applyNumberFormat="1" applyFont="1" applyFill="1" applyAlignment="1" applyProtection="1">
      <alignment horizontal="center"/>
      <protection locked="0"/>
    </xf>
    <xf numFmtId="9" fontId="0" fillId="2" borderId="0" xfId="2" applyFont="1" applyFill="1" applyAlignment="1" applyProtection="1">
      <alignment horizontal="center"/>
      <protection locked="0"/>
    </xf>
    <xf numFmtId="164" fontId="0" fillId="2" borderId="0" xfId="0" applyNumberFormat="1" applyFill="1" applyAlignment="1" applyProtection="1">
      <alignment horizontal="center"/>
      <protection locked="0"/>
    </xf>
    <xf numFmtId="9" fontId="0" fillId="2" borderId="1" xfId="0" applyNumberFormat="1" applyFill="1" applyBorder="1" applyAlignment="1" applyProtection="1">
      <alignment horizontal="center"/>
      <protection locked="0"/>
    </xf>
    <xf numFmtId="0" fontId="20" fillId="2" borderId="0" xfId="0" applyFont="1" applyFill="1" applyAlignment="1" applyProtection="1">
      <alignment horizontal="center"/>
      <protection locked="0"/>
    </xf>
    <xf numFmtId="0" fontId="20" fillId="2" borderId="17" xfId="0" applyFont="1" applyFill="1" applyBorder="1" applyAlignment="1" applyProtection="1">
      <alignment horizontal="center" vertical="center"/>
      <protection locked="0"/>
    </xf>
    <xf numFmtId="9" fontId="0" fillId="2" borderId="0" xfId="0" applyNumberFormat="1" applyFill="1" applyAlignment="1" applyProtection="1">
      <alignment horizontal="center"/>
      <protection locked="0"/>
    </xf>
    <xf numFmtId="169" fontId="0" fillId="2" borderId="0" xfId="2" applyNumberFormat="1" applyFont="1" applyFill="1" applyAlignment="1" applyProtection="1">
      <alignment horizontal="right"/>
      <protection locked="0"/>
    </xf>
    <xf numFmtId="2" fontId="0" fillId="2" borderId="1" xfId="0" applyNumberFormat="1" applyFill="1" applyBorder="1" applyAlignment="1" applyProtection="1">
      <alignment horizontal="center" vertical="center"/>
      <protection locked="0"/>
    </xf>
    <xf numFmtId="2" fontId="0" fillId="2" borderId="1" xfId="4" applyNumberFormat="1" applyFont="1" applyFill="1" applyBorder="1" applyAlignment="1" applyProtection="1">
      <alignment horizontal="center" vertical="center"/>
      <protection locked="0"/>
    </xf>
    <xf numFmtId="0" fontId="0" fillId="2" borderId="24" xfId="0" applyFill="1" applyBorder="1" applyAlignment="1" applyProtection="1">
      <alignment horizontal="center" vertical="center" wrapText="1"/>
      <protection locked="0"/>
    </xf>
    <xf numFmtId="0" fontId="0" fillId="2" borderId="19" xfId="0" applyFill="1" applyBorder="1" applyAlignment="1" applyProtection="1">
      <alignment horizontal="center" vertical="center"/>
      <protection locked="0"/>
    </xf>
    <xf numFmtId="0" fontId="0" fillId="2" borderId="21" xfId="0" applyFill="1" applyBorder="1" applyAlignment="1" applyProtection="1">
      <alignment horizontal="center" vertical="center"/>
      <protection locked="0"/>
    </xf>
    <xf numFmtId="44" fontId="0" fillId="2" borderId="1" xfId="1" applyFont="1" applyFill="1" applyBorder="1" applyAlignment="1" applyProtection="1">
      <alignment horizontal="center" vertical="center" wrapText="1"/>
      <protection locked="0"/>
    </xf>
    <xf numFmtId="44" fontId="0" fillId="2" borderId="41" xfId="1" applyFont="1" applyFill="1" applyBorder="1" applyAlignment="1" applyProtection="1">
      <alignment horizontal="center" vertical="center" wrapText="1"/>
      <protection locked="0"/>
    </xf>
    <xf numFmtId="9" fontId="14" fillId="2" borderId="1" xfId="2" applyFont="1" applyFill="1" applyBorder="1" applyAlignment="1" applyProtection="1">
      <alignment horizontal="center"/>
      <protection locked="0"/>
    </xf>
    <xf numFmtId="44" fontId="20" fillId="2" borderId="1" xfId="1" applyFont="1" applyFill="1" applyBorder="1" applyProtection="1">
      <protection locked="0"/>
    </xf>
    <xf numFmtId="44" fontId="20" fillId="25" borderId="1" xfId="1" applyFont="1" applyFill="1" applyBorder="1" applyProtection="1">
      <protection locked="0"/>
    </xf>
    <xf numFmtId="9" fontId="0" fillId="2" borderId="17" xfId="0" applyNumberFormat="1" applyFill="1" applyBorder="1" applyAlignment="1" applyProtection="1">
      <alignment horizontal="center"/>
      <protection locked="0"/>
    </xf>
    <xf numFmtId="9" fontId="3" fillId="2" borderId="1" xfId="0" applyNumberFormat="1" applyFont="1" applyFill="1" applyBorder="1" applyAlignment="1" applyProtection="1">
      <alignment horizontal="center"/>
      <protection locked="0"/>
    </xf>
    <xf numFmtId="0" fontId="20" fillId="26" borderId="13" xfId="0" applyFont="1" applyFill="1" applyBorder="1" applyAlignment="1" applyProtection="1">
      <alignment horizontal="center" vertical="center"/>
    </xf>
    <xf numFmtId="0" fontId="3" fillId="16" borderId="39" xfId="0" applyFont="1" applyFill="1" applyBorder="1" applyAlignment="1">
      <alignment horizontal="center" vertical="center"/>
    </xf>
    <xf numFmtId="0" fontId="3" fillId="16" borderId="40" xfId="0" applyFont="1" applyFill="1" applyBorder="1" applyAlignment="1">
      <alignment horizontal="center" vertical="center"/>
    </xf>
    <xf numFmtId="0" fontId="3" fillId="8" borderId="39" xfId="0" applyFont="1" applyFill="1" applyBorder="1" applyAlignment="1">
      <alignment horizontal="center" vertical="center" wrapText="1"/>
    </xf>
    <xf numFmtId="0" fontId="3" fillId="8" borderId="40" xfId="0" applyFont="1" applyFill="1" applyBorder="1" applyAlignment="1">
      <alignment horizontal="center" vertical="center" wrapText="1"/>
    </xf>
    <xf numFmtId="0" fontId="7" fillId="7" borderId="11" xfId="0" applyFont="1" applyFill="1" applyBorder="1" applyAlignment="1">
      <alignment horizontal="center"/>
    </xf>
    <xf numFmtId="0" fontId="7" fillId="7" borderId="12" xfId="0" applyFont="1" applyFill="1" applyBorder="1" applyAlignment="1">
      <alignment horizontal="center"/>
    </xf>
    <xf numFmtId="0" fontId="7" fillId="7" borderId="13" xfId="0" applyFont="1" applyFill="1" applyBorder="1" applyAlignment="1">
      <alignment horizontal="center"/>
    </xf>
    <xf numFmtId="0" fontId="3" fillId="6" borderId="1" xfId="0" applyFont="1" applyFill="1" applyBorder="1" applyAlignment="1">
      <alignment horizontal="center" vertical="center"/>
    </xf>
  </cellXfs>
  <cellStyles count="5">
    <cellStyle name="Comma" xfId="4" builtinId="3"/>
    <cellStyle name="Currency" xfId="1" builtinId="4"/>
    <cellStyle name="Hyperlink" xfId="3" builtinId="8"/>
    <cellStyle name="Normal" xfId="0" builtinId="0"/>
    <cellStyle name="Percent" xfId="2" builtinId="5"/>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hyperlink" Target="https://omb.illinois.gov/public/gata/csfa/AwardList.aspx?CSFA=2880"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livingwage.mit.edu/states/17"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E4C0AB-A5E5-45F1-9097-E2C779BFF704}">
  <dimension ref="B1:D10"/>
  <sheetViews>
    <sheetView showGridLines="0" zoomScale="85" workbookViewId="0">
      <pane xSplit="2" ySplit="1" topLeftCell="C2" activePane="bottomRight" state="frozen"/>
      <selection pane="topRight" activeCell="C1" sqref="C1"/>
      <selection pane="bottomLeft" activeCell="A3" sqref="A3"/>
      <selection pane="bottomRight" activeCell="C10" sqref="C10"/>
    </sheetView>
  </sheetViews>
  <sheetFormatPr defaultColWidth="9.140625" defaultRowHeight="15" x14ac:dyDescent="0.25"/>
  <cols>
    <col min="1" max="1" width="1.7109375" style="65" customWidth="1"/>
    <col min="2" max="2" width="27.140625" style="54" bestFit="1" customWidth="1"/>
    <col min="3" max="3" width="169.7109375" style="224" customWidth="1"/>
    <col min="4" max="4" width="68.28515625" style="65" customWidth="1"/>
    <col min="5" max="16384" width="9.140625" style="65"/>
  </cols>
  <sheetData>
    <row r="1" spans="2:4" s="54" customFormat="1" x14ac:dyDescent="0.25">
      <c r="B1" s="54" t="s">
        <v>0</v>
      </c>
      <c r="C1" s="225" t="s">
        <v>1</v>
      </c>
      <c r="D1" s="54" t="s">
        <v>2</v>
      </c>
    </row>
    <row r="2" spans="2:4" s="54" customFormat="1" ht="39" customHeight="1" x14ac:dyDescent="0.25">
      <c r="C2" s="225"/>
    </row>
    <row r="3" spans="2:4" ht="39" customHeight="1" x14ac:dyDescent="0.25">
      <c r="B3" s="248" t="s">
        <v>3</v>
      </c>
      <c r="C3" s="227" t="s">
        <v>4</v>
      </c>
      <c r="D3" s="356" t="s">
        <v>5</v>
      </c>
    </row>
    <row r="4" spans="2:4" ht="39" customHeight="1" thickBot="1" x14ac:dyDescent="0.3">
      <c r="B4" s="248" t="s">
        <v>6</v>
      </c>
      <c r="C4" s="227" t="s">
        <v>7</v>
      </c>
      <c r="D4" s="249" t="s">
        <v>8</v>
      </c>
    </row>
    <row r="5" spans="2:4" ht="39" customHeight="1" x14ac:dyDescent="0.25">
      <c r="B5" s="245" t="s">
        <v>9</v>
      </c>
      <c r="C5" s="246" t="s">
        <v>10</v>
      </c>
      <c r="D5" s="247" t="s">
        <v>11</v>
      </c>
    </row>
    <row r="6" spans="2:4" ht="39" customHeight="1" x14ac:dyDescent="0.25">
      <c r="B6" s="251" t="s">
        <v>12</v>
      </c>
      <c r="C6" s="229"/>
      <c r="D6" s="250"/>
    </row>
    <row r="7" spans="2:4" ht="39" customHeight="1" x14ac:dyDescent="0.25">
      <c r="B7" s="252" t="s">
        <v>13</v>
      </c>
      <c r="C7" s="226" t="s">
        <v>14</v>
      </c>
      <c r="D7" s="253" t="s">
        <v>15</v>
      </c>
    </row>
    <row r="8" spans="2:4" ht="39" customHeight="1" x14ac:dyDescent="0.25">
      <c r="B8" s="252" t="s">
        <v>16</v>
      </c>
      <c r="C8" s="226" t="s">
        <v>17</v>
      </c>
      <c r="D8" s="253" t="s">
        <v>18</v>
      </c>
    </row>
    <row r="9" spans="2:4" ht="39" customHeight="1" x14ac:dyDescent="0.25">
      <c r="B9" s="254" t="s">
        <v>19</v>
      </c>
      <c r="C9" s="228" t="s">
        <v>20</v>
      </c>
      <c r="D9" s="255" t="s">
        <v>21</v>
      </c>
    </row>
    <row r="10" spans="2:4" ht="39" customHeight="1" x14ac:dyDescent="0.25">
      <c r="B10" s="353" t="s">
        <v>22</v>
      </c>
      <c r="C10" s="354" t="s">
        <v>23</v>
      </c>
      <c r="D10" s="355" t="s">
        <v>24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B2480-A793-4A62-9887-540E6D6AC1E9}">
  <sheetPr>
    <tabColor theme="3"/>
  </sheetPr>
  <dimension ref="A1:R113"/>
  <sheetViews>
    <sheetView showGridLines="0" zoomScale="101" zoomScaleNormal="57" workbookViewId="0">
      <pane ySplit="3" topLeftCell="A94" activePane="bottomLeft" state="frozen"/>
      <selection pane="bottomLeft" activeCell="G113" sqref="G113"/>
    </sheetView>
  </sheetViews>
  <sheetFormatPr defaultColWidth="15.7109375" defaultRowHeight="15" x14ac:dyDescent="0.25"/>
  <cols>
    <col min="1" max="2" width="2.7109375" customWidth="1"/>
    <col min="3" max="3" width="5.28515625" customWidth="1"/>
    <col min="4" max="4" width="45.85546875" customWidth="1"/>
    <col min="13" max="13" width="16.5703125" customWidth="1"/>
  </cols>
  <sheetData>
    <row r="1" spans="2:18" ht="15.75" x14ac:dyDescent="0.25">
      <c r="B1" s="6" t="s">
        <v>25</v>
      </c>
      <c r="E1" s="26"/>
      <c r="F1" s="26"/>
      <c r="G1" s="26"/>
      <c r="H1" s="26"/>
      <c r="I1" s="26"/>
      <c r="J1" s="26"/>
      <c r="K1" s="26"/>
      <c r="L1" s="26"/>
      <c r="M1" s="26"/>
      <c r="N1" s="26"/>
      <c r="O1" s="26"/>
      <c r="P1" s="26"/>
      <c r="Q1" s="26"/>
      <c r="R1" s="16"/>
    </row>
    <row r="2" spans="2:18" ht="15.75" x14ac:dyDescent="0.25">
      <c r="B2" s="7" t="s">
        <v>26</v>
      </c>
      <c r="E2" s="26"/>
      <c r="F2" s="26"/>
      <c r="G2" s="26"/>
      <c r="H2" s="26"/>
      <c r="I2" s="26"/>
      <c r="J2" s="26"/>
      <c r="K2" s="26"/>
      <c r="L2" s="26"/>
      <c r="M2" s="26"/>
      <c r="N2" s="26"/>
      <c r="O2" s="26"/>
      <c r="P2" s="26"/>
      <c r="Q2" s="26"/>
      <c r="R2" s="16"/>
    </row>
    <row r="3" spans="2:18" ht="15.75" x14ac:dyDescent="0.25">
      <c r="B3" s="8" t="s">
        <v>27</v>
      </c>
      <c r="E3" s="26"/>
      <c r="F3" s="26"/>
      <c r="G3" s="26"/>
      <c r="H3" s="26"/>
      <c r="I3" s="26"/>
      <c r="J3" s="26"/>
      <c r="K3" s="26"/>
      <c r="L3" s="26"/>
      <c r="M3" s="26"/>
      <c r="N3" s="26"/>
      <c r="O3" s="26"/>
      <c r="P3" s="26"/>
      <c r="Q3" s="26"/>
      <c r="R3" s="16"/>
    </row>
    <row r="5" spans="2:18" s="10" customFormat="1" ht="15.75" thickBot="1" x14ac:dyDescent="0.3">
      <c r="B5" s="10" t="s">
        <v>28</v>
      </c>
    </row>
    <row r="6" spans="2:18" ht="15.75" thickBot="1" x14ac:dyDescent="0.3">
      <c r="H6" s="350" t="s">
        <v>29</v>
      </c>
      <c r="I6" s="351"/>
      <c r="J6" s="352"/>
    </row>
    <row r="7" spans="2:18" ht="30.75" thickBot="1" x14ac:dyDescent="0.3">
      <c r="C7" s="397" t="s">
        <v>30</v>
      </c>
      <c r="D7" s="384"/>
      <c r="E7" s="398" t="s">
        <v>31</v>
      </c>
      <c r="F7" s="396" t="s">
        <v>32</v>
      </c>
      <c r="H7" s="203" t="s">
        <v>33</v>
      </c>
      <c r="I7" s="204"/>
      <c r="J7" s="436">
        <v>0.05</v>
      </c>
    </row>
    <row r="8" spans="2:18" x14ac:dyDescent="0.25">
      <c r="C8" s="165"/>
      <c r="D8" t="s">
        <v>34</v>
      </c>
      <c r="E8" s="260">
        <v>56397067</v>
      </c>
      <c r="F8" s="235">
        <f>F29</f>
        <v>63605018.663190551</v>
      </c>
    </row>
    <row r="9" spans="2:18" ht="15.75" thickBot="1" x14ac:dyDescent="0.3">
      <c r="C9" s="165"/>
      <c r="D9" s="1" t="s">
        <v>35</v>
      </c>
      <c r="E9" s="357"/>
      <c r="F9" s="237">
        <f>F8-E8</f>
        <v>7207951.6631905511</v>
      </c>
    </row>
    <row r="10" spans="2:18" ht="16.7" customHeight="1" thickBot="1" x14ac:dyDescent="0.3">
      <c r="C10" s="303" t="s">
        <v>36</v>
      </c>
      <c r="D10" s="201"/>
      <c r="E10" s="358"/>
      <c r="F10" s="238"/>
    </row>
    <row r="11" spans="2:18" x14ac:dyDescent="0.25">
      <c r="C11" s="165"/>
      <c r="D11" t="s">
        <v>37</v>
      </c>
      <c r="E11" s="359">
        <f>G99</f>
        <v>143540907.86999997</v>
      </c>
      <c r="F11" s="235">
        <f>I99</f>
        <v>290197045.11617857</v>
      </c>
    </row>
    <row r="12" spans="2:18" x14ac:dyDescent="0.25">
      <c r="C12" s="165"/>
      <c r="D12" t="s">
        <v>38</v>
      </c>
      <c r="E12" s="357"/>
      <c r="F12" s="235">
        <f>K99</f>
        <v>304706897.37198752</v>
      </c>
      <c r="J12" s="258"/>
    </row>
    <row r="13" spans="2:18" x14ac:dyDescent="0.25">
      <c r="C13" s="165"/>
      <c r="D13" s="1" t="s">
        <v>39</v>
      </c>
      <c r="E13" s="357"/>
      <c r="F13" s="237">
        <f>F11-E11</f>
        <v>146656137.2461786</v>
      </c>
      <c r="J13" s="258"/>
    </row>
    <row r="14" spans="2:18" x14ac:dyDescent="0.25">
      <c r="C14" s="165"/>
      <c r="D14" s="1" t="s">
        <v>40</v>
      </c>
      <c r="E14" s="357"/>
      <c r="F14" s="237">
        <f>F12-F11</f>
        <v>14509852.255808949</v>
      </c>
      <c r="J14" s="258"/>
    </row>
    <row r="15" spans="2:18" ht="15.75" thickBot="1" x14ac:dyDescent="0.3">
      <c r="C15" s="165"/>
      <c r="D15" s="3" t="s">
        <v>41</v>
      </c>
      <c r="E15" s="357"/>
      <c r="F15" s="302">
        <f>F13+F14</f>
        <v>161165989.50198755</v>
      </c>
      <c r="H15" s="3"/>
      <c r="J15" s="69"/>
    </row>
    <row r="16" spans="2:18" ht="15.75" thickBot="1" x14ac:dyDescent="0.3">
      <c r="C16" s="303" t="s">
        <v>42</v>
      </c>
      <c r="D16" s="305"/>
      <c r="E16" s="358"/>
      <c r="F16" s="306"/>
      <c r="H16" s="3"/>
      <c r="J16" s="69"/>
    </row>
    <row r="17" spans="1:16" x14ac:dyDescent="0.25">
      <c r="C17" s="309"/>
      <c r="D17" t="s">
        <v>43</v>
      </c>
      <c r="E17" s="359">
        <f>E106</f>
        <v>8605540.4824496061</v>
      </c>
      <c r="F17" s="235">
        <f>E107</f>
        <v>10328017.970777405</v>
      </c>
    </row>
    <row r="18" spans="1:16" ht="15.75" thickBot="1" x14ac:dyDescent="0.3">
      <c r="C18" s="309"/>
      <c r="D18" s="1" t="s">
        <v>35</v>
      </c>
      <c r="E18" s="357"/>
      <c r="F18" s="237">
        <f>F17-E17</f>
        <v>1722477.4883277994</v>
      </c>
    </row>
    <row r="19" spans="1:16" ht="15.75" thickBot="1" x14ac:dyDescent="0.3">
      <c r="C19" s="303" t="s">
        <v>44</v>
      </c>
      <c r="D19" s="304"/>
      <c r="E19" s="360">
        <f>SUM(E8,E11,E17)</f>
        <v>208543515.3524496</v>
      </c>
      <c r="F19" s="306">
        <f>F12+F8+F17</f>
        <v>378639934.00595546</v>
      </c>
    </row>
    <row r="20" spans="1:16" ht="15.75" thickBot="1" x14ac:dyDescent="0.3">
      <c r="C20" s="303"/>
      <c r="D20" s="307" t="s">
        <v>45</v>
      </c>
      <c r="E20" s="358"/>
      <c r="F20" s="308">
        <f>F15+F9+F18</f>
        <v>170096418.65350589</v>
      </c>
    </row>
    <row r="22" spans="1:16" x14ac:dyDescent="0.25">
      <c r="A22" s="10"/>
      <c r="B22" s="10" t="s">
        <v>30</v>
      </c>
      <c r="C22" s="10"/>
      <c r="D22" s="10"/>
      <c r="E22" s="10"/>
      <c r="F22" s="10"/>
      <c r="G22" s="10"/>
      <c r="H22" s="28"/>
      <c r="I22" s="28"/>
      <c r="J22" s="28"/>
      <c r="K22" s="28"/>
      <c r="L22" s="28"/>
      <c r="M22" s="28"/>
      <c r="N22" s="28"/>
      <c r="O22" s="28"/>
      <c r="P22" s="28"/>
    </row>
    <row r="23" spans="1:16" ht="15.75" thickBot="1" x14ac:dyDescent="0.3"/>
    <row r="24" spans="1:16" ht="15.75" thickBot="1" x14ac:dyDescent="0.3">
      <c r="C24" s="80" t="s">
        <v>46</v>
      </c>
      <c r="D24" s="244"/>
      <c r="E24" s="438" t="str">
        <f>CFC!E9</f>
        <v>Current Ratio</v>
      </c>
      <c r="G24" s="1" t="s">
        <v>403</v>
      </c>
    </row>
    <row r="26" spans="1:16" x14ac:dyDescent="0.25">
      <c r="E26" s="314" t="s">
        <v>31</v>
      </c>
      <c r="F26" s="399" t="s">
        <v>32</v>
      </c>
    </row>
    <row r="27" spans="1:16" s="74" customFormat="1" x14ac:dyDescent="0.25">
      <c r="C27" s="2" t="s">
        <v>48</v>
      </c>
      <c r="D27" s="71"/>
      <c r="E27" s="362">
        <f>'Wage Assumptions'!D41*1.05</f>
        <v>23.857609684536342</v>
      </c>
      <c r="F27" s="361" cm="1">
        <f t="array" ref="F27">_xlfn.IFS(CFC!E28="Custom Wages",'Wage Assumptions'!F41,CFC!E28="Education Level Wages",'Wage Assumptions'!E41,CFC!E28="Current Wages",'Wage Assumptions'!D41)</f>
        <v>26</v>
      </c>
      <c r="G27" s="240" t="s">
        <v>403</v>
      </c>
    </row>
    <row r="28" spans="1:16" x14ac:dyDescent="0.25">
      <c r="C28" s="206" t="s">
        <v>49</v>
      </c>
      <c r="D28" s="207"/>
      <c r="E28" s="363" cm="1">
        <f t="array" ref="E28">_xlfn.IFS(CFC!E28="Custom Wages",'Wage Assumptions'!F41,CFC!E28="Education Level Wages",'Wage Assumptions'!E41,CFC!E28="Current Wages",'Wage Assumptions'!D41)</f>
        <v>26</v>
      </c>
      <c r="F28" s="278">
        <f>CFC!F81</f>
        <v>2544200.746527622</v>
      </c>
    </row>
    <row r="29" spans="1:16" x14ac:dyDescent="0.25">
      <c r="C29" s="80" t="s">
        <v>50</v>
      </c>
      <c r="D29" s="79"/>
      <c r="E29" s="265">
        <f>E8</f>
        <v>56397067</v>
      </c>
      <c r="F29" s="265">
        <f>F28*25</f>
        <v>63605018.663190551</v>
      </c>
      <c r="G29" s="202" t="s">
        <v>51</v>
      </c>
    </row>
    <row r="30" spans="1:16" x14ac:dyDescent="0.25">
      <c r="C30" s="1"/>
      <c r="D30" s="3"/>
      <c r="E30" s="366"/>
      <c r="F30" s="366"/>
    </row>
    <row r="33" spans="1:16" x14ac:dyDescent="0.25">
      <c r="A33" s="10"/>
      <c r="B33" s="10" t="s">
        <v>52</v>
      </c>
      <c r="C33" s="10"/>
      <c r="D33" s="10"/>
      <c r="E33" s="10"/>
      <c r="F33" s="10"/>
      <c r="G33" s="10"/>
      <c r="H33" s="28"/>
      <c r="I33" s="28"/>
      <c r="J33" s="28"/>
      <c r="K33" s="28"/>
      <c r="L33" s="28"/>
      <c r="M33" s="28"/>
      <c r="N33" s="28"/>
      <c r="O33" s="28"/>
      <c r="P33" s="28"/>
    </row>
    <row r="34" spans="1:16" x14ac:dyDescent="0.25">
      <c r="C34" s="74"/>
      <c r="D34" s="74"/>
      <c r="E34" s="74"/>
      <c r="F34" s="74"/>
      <c r="G34" s="74"/>
    </row>
    <row r="35" spans="1:16" x14ac:dyDescent="0.25">
      <c r="C35" s="80" t="s">
        <v>53</v>
      </c>
      <c r="D35" s="244"/>
      <c r="E35" s="437">
        <v>1</v>
      </c>
      <c r="F35" s="437">
        <v>1</v>
      </c>
      <c r="G35" s="437">
        <v>1</v>
      </c>
      <c r="H35" s="437">
        <v>1</v>
      </c>
      <c r="I35" s="437">
        <v>1</v>
      </c>
      <c r="J35" s="437">
        <v>1</v>
      </c>
      <c r="K35" s="437">
        <v>1</v>
      </c>
      <c r="L35" s="437">
        <v>1</v>
      </c>
      <c r="M35" s="437">
        <v>1</v>
      </c>
      <c r="N35" s="437">
        <v>1</v>
      </c>
      <c r="O35" s="437">
        <v>1</v>
      </c>
    </row>
    <row r="36" spans="1:16" s="74" customFormat="1" x14ac:dyDescent="0.25">
      <c r="C36" s="3"/>
      <c r="D36"/>
      <c r="E36" s="258"/>
      <c r="F36"/>
      <c r="G36"/>
    </row>
    <row r="37" spans="1:16" x14ac:dyDescent="0.25">
      <c r="C37" s="3"/>
      <c r="H37" s="74"/>
      <c r="I37" s="74"/>
      <c r="J37" s="74"/>
      <c r="K37" s="74"/>
      <c r="L37" s="74"/>
      <c r="M37" s="74"/>
      <c r="N37" s="74"/>
      <c r="O37" s="74"/>
      <c r="P37" s="74"/>
    </row>
    <row r="38" spans="1:16" ht="30" x14ac:dyDescent="0.25">
      <c r="C38" s="81" t="s">
        <v>54</v>
      </c>
      <c r="D38" s="81"/>
      <c r="E38" s="85" t="s">
        <v>55</v>
      </c>
      <c r="F38" s="85" t="s">
        <v>56</v>
      </c>
      <c r="G38" s="85" t="s">
        <v>57</v>
      </c>
      <c r="H38" s="85" t="s">
        <v>58</v>
      </c>
      <c r="I38" s="85" t="s">
        <v>59</v>
      </c>
      <c r="J38" s="85" t="s">
        <v>60</v>
      </c>
      <c r="K38" s="85" t="s">
        <v>61</v>
      </c>
      <c r="L38" s="85" t="s">
        <v>62</v>
      </c>
      <c r="M38" s="85" t="s">
        <v>63</v>
      </c>
      <c r="N38" s="85" t="s">
        <v>64</v>
      </c>
      <c r="O38" s="85" t="s">
        <v>65</v>
      </c>
      <c r="P38" s="85" t="s">
        <v>66</v>
      </c>
    </row>
    <row r="39" spans="1:16" x14ac:dyDescent="0.25">
      <c r="C39" s="266" t="s">
        <v>67</v>
      </c>
      <c r="D39" s="266"/>
      <c r="E39" s="267">
        <f>F53*(1.05)</f>
        <v>56.185499999999998</v>
      </c>
      <c r="F39" s="267">
        <f>(F56*1.05)</f>
        <v>88.872</v>
      </c>
      <c r="G39" s="267">
        <f>(F61*1.08)</f>
        <v>72.144000000000005</v>
      </c>
      <c r="H39" s="267">
        <f>F66</f>
        <v>122.64</v>
      </c>
      <c r="I39" s="267">
        <f>F69*1.05</f>
        <v>88.872</v>
      </c>
      <c r="J39" s="267">
        <f>F74*1.08</f>
        <v>91.411200000000008</v>
      </c>
      <c r="K39" s="267">
        <f>F77</f>
        <v>100.72</v>
      </c>
      <c r="L39" s="267">
        <f>F82</f>
        <v>65.12</v>
      </c>
      <c r="M39" s="267">
        <f>F85*1.05</f>
        <v>88.872</v>
      </c>
      <c r="N39" s="267">
        <f>F90</f>
        <v>63.04</v>
      </c>
      <c r="O39" s="267">
        <f>F93*1.08</f>
        <v>72.144000000000005</v>
      </c>
      <c r="P39" s="267">
        <f>F96</f>
        <v>235.1</v>
      </c>
    </row>
    <row r="40" spans="1:16" x14ac:dyDescent="0.25">
      <c r="C40" s="70" t="s">
        <v>68</v>
      </c>
      <c r="D40" s="208"/>
      <c r="E40" s="270">
        <f>'Billable Rate Summary'!D6</f>
        <v>168.13164539310606</v>
      </c>
      <c r="F40" s="270">
        <f>I40</f>
        <v>178.25116151109802</v>
      </c>
      <c r="G40" s="270">
        <f>'Billable Rate Summary'!D7</f>
        <v>147.62995464532906</v>
      </c>
      <c r="H40" s="270">
        <f>'Billable Rate Summary'!D13</f>
        <v>130.81980989057132</v>
      </c>
      <c r="I40" s="270">
        <f>'Billable Rate Summary'!D8</f>
        <v>178.25116151109802</v>
      </c>
      <c r="J40" s="270">
        <f>'Billable Rate Summary'!D9</f>
        <v>190.91607738883025</v>
      </c>
      <c r="K40" s="270">
        <f>'Billable Rate Summary'!D10</f>
        <v>200.8493447439144</v>
      </c>
      <c r="L40" s="270">
        <f>'Billable Rate Summary'!D11</f>
        <v>129.64023439215507</v>
      </c>
      <c r="M40" s="270">
        <f>'Billable Rate Summary'!D12</f>
        <v>165.95874315918144</v>
      </c>
      <c r="N40" s="270">
        <f>'Billable Rate Summary'!D14</f>
        <v>89.295026883103972</v>
      </c>
      <c r="O40" s="270">
        <f>G40</f>
        <v>147.62995464532906</v>
      </c>
      <c r="P40" s="270"/>
    </row>
    <row r="41" spans="1:16" s="54" customFormat="1" x14ac:dyDescent="0.25">
      <c r="A41" s="65"/>
      <c r="B41" s="65"/>
      <c r="C41" s="20" t="s">
        <v>69</v>
      </c>
      <c r="D41" s="20"/>
      <c r="E41" s="274">
        <f t="shared" ref="E41:O41" si="0">E39/E40</f>
        <v>0.33417563878967299</v>
      </c>
      <c r="F41" s="274">
        <f t="shared" si="0"/>
        <v>0.49857739633560133</v>
      </c>
      <c r="G41" s="274">
        <f t="shared" si="0"/>
        <v>0.48868131249732527</v>
      </c>
      <c r="H41" s="274">
        <f t="shared" si="0"/>
        <v>0.93747269700656499</v>
      </c>
      <c r="I41" s="274">
        <f t="shared" si="0"/>
        <v>0.49857739633560133</v>
      </c>
      <c r="J41" s="274">
        <f t="shared" si="0"/>
        <v>0.4788030492257962</v>
      </c>
      <c r="K41" s="274">
        <f t="shared" si="0"/>
        <v>0.50147039378405411</v>
      </c>
      <c r="L41" s="274">
        <f t="shared" si="0"/>
        <v>0.50231319239222716</v>
      </c>
      <c r="M41" s="274">
        <f t="shared" si="0"/>
        <v>0.53550658620472491</v>
      </c>
      <c r="N41" s="274">
        <f t="shared" si="0"/>
        <v>0.70597436610356357</v>
      </c>
      <c r="O41" s="274">
        <f t="shared" si="0"/>
        <v>0.48868131249732527</v>
      </c>
      <c r="P41" s="275"/>
    </row>
    <row r="42" spans="1:16" s="54" customFormat="1" x14ac:dyDescent="0.25">
      <c r="A42" s="65"/>
      <c r="B42" s="65"/>
      <c r="C42" s="20" t="s">
        <v>70</v>
      </c>
      <c r="D42" s="20"/>
      <c r="E42" s="276">
        <f>(E40-F53)/F53</f>
        <v>2.1420602764549819</v>
      </c>
      <c r="F42" s="277">
        <f>(F40-F39)/F39</f>
        <v>1.0057066512635928</v>
      </c>
      <c r="G42" s="276">
        <f>(G40-F61)/F61</f>
        <v>1.2100292611576209</v>
      </c>
      <c r="H42" s="276">
        <f>(H40-F66)/F66</f>
        <v>6.6697732310594587E-2</v>
      </c>
      <c r="I42" s="276">
        <f>(I40-F69)/F69</f>
        <v>1.1059919838267724</v>
      </c>
      <c r="J42" s="276">
        <f>(J40-F74)/F74</f>
        <v>1.2556247328547996</v>
      </c>
      <c r="K42" s="276">
        <f>(K40-F77)/F77</f>
        <v>0.9941356706107467</v>
      </c>
      <c r="L42" s="276">
        <f>(L40-F82)/F82</f>
        <v>0.99078984017437122</v>
      </c>
      <c r="M42" s="276">
        <f>(M40-F85)/F85</f>
        <v>0.96076019800545176</v>
      </c>
      <c r="N42" s="276">
        <f>(N40-F90)/F90</f>
        <v>0.41648202542994883</v>
      </c>
      <c r="O42" s="276">
        <f>(O40-F93)/F93</f>
        <v>1.2100292611576209</v>
      </c>
      <c r="P42" s="82"/>
    </row>
    <row r="43" spans="1:16" s="3" customFormat="1" x14ac:dyDescent="0.25">
      <c r="A43"/>
      <c r="B43"/>
      <c r="C43" s="261" t="s">
        <v>71</v>
      </c>
      <c r="D43" s="261"/>
      <c r="E43" s="268">
        <f>MAX(E39,((E$35)*E40))</f>
        <v>168.13164539310606</v>
      </c>
      <c r="F43" s="268">
        <f t="shared" ref="F43:O43" si="1">MAX(F39,((F$35)*F40))</f>
        <v>178.25116151109802</v>
      </c>
      <c r="G43" s="268">
        <f t="shared" si="1"/>
        <v>147.62995464532906</v>
      </c>
      <c r="H43" s="268">
        <f t="shared" si="1"/>
        <v>130.81980989057132</v>
      </c>
      <c r="I43" s="268">
        <f t="shared" si="1"/>
        <v>178.25116151109802</v>
      </c>
      <c r="J43" s="268">
        <f t="shared" si="1"/>
        <v>190.91607738883025</v>
      </c>
      <c r="K43" s="268">
        <f t="shared" si="1"/>
        <v>200.8493447439144</v>
      </c>
      <c r="L43" s="268">
        <f t="shared" si="1"/>
        <v>129.64023439215507</v>
      </c>
      <c r="M43" s="268">
        <f t="shared" si="1"/>
        <v>165.95874315918144</v>
      </c>
      <c r="N43" s="268">
        <f t="shared" si="1"/>
        <v>89.295026883103972</v>
      </c>
      <c r="O43" s="268">
        <f t="shared" si="1"/>
        <v>147.62995464532906</v>
      </c>
      <c r="P43" s="263">
        <f>(AVERAGE(E44:O44)*P39)</f>
        <v>480.00138238744154</v>
      </c>
    </row>
    <row r="44" spans="1:16" s="3" customFormat="1" x14ac:dyDescent="0.25">
      <c r="A44"/>
      <c r="B44"/>
      <c r="C44" s="205" t="s">
        <v>72</v>
      </c>
      <c r="D44" s="262"/>
      <c r="E44" s="269">
        <f>E43/F53</f>
        <v>3.1420602764549814</v>
      </c>
      <c r="F44" s="269">
        <f>F43/F56</f>
        <v>2.1059919838267724</v>
      </c>
      <c r="G44" s="269">
        <f>G43/F61</f>
        <v>2.2100292611576209</v>
      </c>
      <c r="H44" s="269">
        <f>H43/F66</f>
        <v>1.0666977323105946</v>
      </c>
      <c r="I44" s="269">
        <f>I43/F69</f>
        <v>2.1059919838267724</v>
      </c>
      <c r="J44" s="269">
        <f>J43/F74</f>
        <v>2.2556247328547996</v>
      </c>
      <c r="K44" s="269">
        <f>K43/F77</f>
        <v>1.9941356706107467</v>
      </c>
      <c r="L44" s="269">
        <f>L43/F82</f>
        <v>1.9907898401743713</v>
      </c>
      <c r="M44" s="269">
        <f>M43/F85</f>
        <v>1.9607601980054516</v>
      </c>
      <c r="N44" s="269">
        <f>N43/F90</f>
        <v>1.4164820254299488</v>
      </c>
      <c r="O44" s="269">
        <f>O43/F93</f>
        <v>2.2100292611576209</v>
      </c>
      <c r="P44" s="264">
        <f>P43/P39</f>
        <v>2.0416902696190622</v>
      </c>
    </row>
    <row r="45" spans="1:16" x14ac:dyDescent="0.25">
      <c r="F45" t="s">
        <v>73</v>
      </c>
      <c r="O45" t="s">
        <v>74</v>
      </c>
    </row>
    <row r="46" spans="1:16" x14ac:dyDescent="0.25">
      <c r="C46" s="401" t="s">
        <v>75</v>
      </c>
    </row>
    <row r="47" spans="1:16" x14ac:dyDescent="0.25">
      <c r="E47" s="186"/>
      <c r="F47" s="186"/>
      <c r="G47" s="186"/>
    </row>
    <row r="48" spans="1:16" x14ac:dyDescent="0.25">
      <c r="C48" s="209" t="s">
        <v>76</v>
      </c>
      <c r="D48" s="210"/>
      <c r="E48" s="210"/>
      <c r="F48" s="210"/>
      <c r="G48" s="210"/>
      <c r="H48" s="210"/>
      <c r="I48" s="210"/>
      <c r="J48" s="73"/>
      <c r="K48" s="73"/>
      <c r="L48" s="73"/>
      <c r="M48" s="73"/>
      <c r="N48" s="236"/>
    </row>
    <row r="49" spans="3:11" ht="15.75" thickBot="1" x14ac:dyDescent="0.3"/>
    <row r="50" spans="3:11" ht="44.1" customHeight="1" thickBot="1" x14ac:dyDescent="0.3">
      <c r="F50" s="439" t="s">
        <v>77</v>
      </c>
      <c r="G50" s="440"/>
      <c r="H50" s="441" t="s">
        <v>78</v>
      </c>
      <c r="I50" s="442"/>
      <c r="J50" s="441" t="s">
        <v>79</v>
      </c>
      <c r="K50" s="442"/>
    </row>
    <row r="51" spans="3:11" ht="46.7" customHeight="1" thickBot="1" x14ac:dyDescent="0.3">
      <c r="E51" s="214" t="s">
        <v>80</v>
      </c>
      <c r="F51" s="221" t="s">
        <v>81</v>
      </c>
      <c r="G51" s="222" t="s">
        <v>82</v>
      </c>
      <c r="H51" s="223" t="s">
        <v>81</v>
      </c>
      <c r="I51" s="234" t="s">
        <v>82</v>
      </c>
      <c r="J51" s="223" t="s">
        <v>81</v>
      </c>
      <c r="K51" s="402" t="s">
        <v>82</v>
      </c>
    </row>
    <row r="52" spans="3:11" ht="15.75" thickBot="1" x14ac:dyDescent="0.3">
      <c r="C52" s="215" t="s">
        <v>55</v>
      </c>
      <c r="D52" s="216"/>
      <c r="E52" s="216"/>
      <c r="F52" s="216"/>
      <c r="G52" s="216"/>
      <c r="H52" s="216"/>
      <c r="I52" s="216"/>
      <c r="J52" s="216"/>
      <c r="K52" s="403"/>
    </row>
    <row r="53" spans="3:11" x14ac:dyDescent="0.25">
      <c r="C53" s="165"/>
      <c r="D53" t="s">
        <v>83</v>
      </c>
      <c r="E53" s="212">
        <v>3.75</v>
      </c>
      <c r="F53" s="219">
        <v>53.51</v>
      </c>
      <c r="G53" s="217">
        <f>E53*F53</f>
        <v>200.66249999999999</v>
      </c>
      <c r="H53" s="219">
        <f>MAX(E43,F53)</f>
        <v>168.13164539310606</v>
      </c>
      <c r="I53" s="230">
        <f>H53*E53</f>
        <v>630.49367022414776</v>
      </c>
      <c r="J53" s="219">
        <f>H53</f>
        <v>168.13164539310606</v>
      </c>
      <c r="K53" s="217">
        <f>J53*((1+$J$7)*E53)</f>
        <v>662.01835373535505</v>
      </c>
    </row>
    <row r="54" spans="3:11" ht="15.75" thickBot="1" x14ac:dyDescent="0.3">
      <c r="C54" s="165"/>
      <c r="D54" t="s">
        <v>84</v>
      </c>
      <c r="E54" s="212">
        <v>1609.25</v>
      </c>
      <c r="F54" s="219">
        <v>53.51</v>
      </c>
      <c r="G54" s="217">
        <f t="shared" ref="G54:G94" si="2">E54*F54</f>
        <v>86110.967499999999</v>
      </c>
      <c r="H54" s="219">
        <f>MAX(E43,F54)</f>
        <v>168.13164539310606</v>
      </c>
      <c r="I54" s="230">
        <f>H54*E54</f>
        <v>270565.85034885589</v>
      </c>
      <c r="J54" s="219">
        <f>H54</f>
        <v>168.13164539310606</v>
      </c>
      <c r="K54" s="217">
        <f>J54*((1+$J$7)*E54)</f>
        <v>284094.14286629873</v>
      </c>
    </row>
    <row r="55" spans="3:11" ht="15.75" thickBot="1" x14ac:dyDescent="0.3">
      <c r="C55" s="215" t="s">
        <v>56</v>
      </c>
      <c r="D55" s="216"/>
      <c r="E55" s="216"/>
      <c r="F55" s="216"/>
      <c r="G55" s="216"/>
      <c r="H55" s="216"/>
      <c r="I55" s="216"/>
      <c r="J55" s="216"/>
      <c r="K55" s="403"/>
    </row>
    <row r="56" spans="3:11" x14ac:dyDescent="0.25">
      <c r="C56" s="165"/>
      <c r="D56" t="s">
        <v>83</v>
      </c>
      <c r="E56" s="212">
        <v>8277.5</v>
      </c>
      <c r="F56" s="121">
        <v>84.64</v>
      </c>
      <c r="G56" s="230">
        <f t="shared" si="2"/>
        <v>700607.6</v>
      </c>
      <c r="H56" s="259">
        <f>MAX(F43,F56)</f>
        <v>178.25116151109802</v>
      </c>
      <c r="I56" s="260">
        <f>H56*E56</f>
        <v>1475473.9894081138</v>
      </c>
      <c r="J56" s="259">
        <f>H56</f>
        <v>178.25116151109802</v>
      </c>
      <c r="K56" s="217">
        <f>J56*((1+$J$7)*E56)</f>
        <v>1549247.6888785195</v>
      </c>
    </row>
    <row r="57" spans="3:11" x14ac:dyDescent="0.25">
      <c r="C57" s="165"/>
      <c r="D57" t="s">
        <v>84</v>
      </c>
      <c r="E57" s="212">
        <v>710.75</v>
      </c>
      <c r="F57" s="121">
        <v>67.84</v>
      </c>
      <c r="G57" s="230">
        <f t="shared" si="2"/>
        <v>48217.279999999999</v>
      </c>
      <c r="H57" s="259">
        <f>(F57/F56)*H56</f>
        <v>142.87049618280824</v>
      </c>
      <c r="I57" s="260">
        <f>H57*E57</f>
        <v>101545.20516193095</v>
      </c>
      <c r="J57" s="259">
        <f>H57</f>
        <v>142.87049618280824</v>
      </c>
      <c r="K57" s="217">
        <f>J57*((1+$J$7)*E57)</f>
        <v>106622.46542002751</v>
      </c>
    </row>
    <row r="58" spans="3:11" x14ac:dyDescent="0.25">
      <c r="C58" s="165"/>
      <c r="D58" t="s">
        <v>85</v>
      </c>
      <c r="E58" s="212">
        <v>3</v>
      </c>
      <c r="F58" s="121">
        <v>36.799999999999997</v>
      </c>
      <c r="G58" s="230">
        <f t="shared" si="2"/>
        <v>110.39999999999999</v>
      </c>
      <c r="H58" s="259">
        <f>(F58/F56)*H56</f>
        <v>77.500505004825229</v>
      </c>
      <c r="I58" s="260">
        <f>H58*E58</f>
        <v>232.50151501447567</v>
      </c>
      <c r="J58" s="259">
        <f>H58</f>
        <v>77.500505004825229</v>
      </c>
      <c r="K58" s="217">
        <f>J58*((1+$J$7)*E58)</f>
        <v>244.1265907651995</v>
      </c>
    </row>
    <row r="59" spans="3:11" ht="15.75" thickBot="1" x14ac:dyDescent="0.3">
      <c r="C59" s="165"/>
      <c r="D59" t="s">
        <v>86</v>
      </c>
      <c r="E59" s="212">
        <v>622.5</v>
      </c>
      <c r="F59" s="121">
        <v>36.799999999999997</v>
      </c>
      <c r="G59" s="230">
        <f t="shared" si="2"/>
        <v>22908</v>
      </c>
      <c r="H59" s="259">
        <f>(F59/F56)*H56</f>
        <v>77.500505004825229</v>
      </c>
      <c r="I59" s="260">
        <f>H59*E59</f>
        <v>48244.064365503706</v>
      </c>
      <c r="J59" s="259">
        <f>H59</f>
        <v>77.500505004825229</v>
      </c>
      <c r="K59" s="217">
        <f>J59*((1+$J$7)*E59)</f>
        <v>50656.267583778892</v>
      </c>
    </row>
    <row r="60" spans="3:11" ht="15.75" thickBot="1" x14ac:dyDescent="0.3">
      <c r="C60" s="215" t="s">
        <v>57</v>
      </c>
      <c r="D60" s="216"/>
      <c r="E60" s="216"/>
      <c r="F60" s="216"/>
      <c r="G60" s="216"/>
      <c r="H60" s="216"/>
      <c r="I60" s="216"/>
      <c r="J60" s="216"/>
      <c r="K60" s="403"/>
    </row>
    <row r="61" spans="3:11" x14ac:dyDescent="0.25">
      <c r="C61" s="165"/>
      <c r="D61" t="s">
        <v>83</v>
      </c>
      <c r="E61" s="212">
        <v>454308.25</v>
      </c>
      <c r="F61" s="121">
        <v>66.8</v>
      </c>
      <c r="G61" s="230">
        <f t="shared" si="2"/>
        <v>30347791.099999998</v>
      </c>
      <c r="H61" s="259">
        <f>MAX(G43,F61)</f>
        <v>147.62995464532906</v>
      </c>
      <c r="I61" s="260">
        <f>H61*E61</f>
        <v>67069506.342498817</v>
      </c>
      <c r="J61" s="259">
        <f>H61</f>
        <v>147.62995464532906</v>
      </c>
      <c r="K61" s="217">
        <f>J61*((1+$J$7)*E61)</f>
        <v>70422981.659623757</v>
      </c>
    </row>
    <row r="62" spans="3:11" x14ac:dyDescent="0.25">
      <c r="C62" s="165"/>
      <c r="D62" t="s">
        <v>84</v>
      </c>
      <c r="E62" s="212">
        <v>42285.5</v>
      </c>
      <c r="F62" s="121">
        <v>52.96</v>
      </c>
      <c r="G62" s="230">
        <f t="shared" si="2"/>
        <v>2239440.08</v>
      </c>
      <c r="H62" s="259">
        <f>(F62/$F$61)*$H$61</f>
        <v>117.04314967090761</v>
      </c>
      <c r="I62" s="260">
        <f>H62*E62</f>
        <v>4949228.105409164</v>
      </c>
      <c r="J62" s="259">
        <f>H62</f>
        <v>117.04314967090761</v>
      </c>
      <c r="K62" s="217">
        <f>J62*((1+$J$7)*E62)</f>
        <v>5196689.5106796222</v>
      </c>
    </row>
    <row r="63" spans="3:11" x14ac:dyDescent="0.25">
      <c r="C63" s="165"/>
      <c r="D63" t="s">
        <v>85</v>
      </c>
      <c r="E63" s="212">
        <v>2647.25</v>
      </c>
      <c r="F63" s="121">
        <v>13.28</v>
      </c>
      <c r="G63" s="230">
        <f t="shared" si="2"/>
        <v>35155.479999999996</v>
      </c>
      <c r="H63" s="259">
        <f>(F63/$F$61)*$H$61</f>
        <v>29.349188588173206</v>
      </c>
      <c r="I63" s="260">
        <f>H63*E63</f>
        <v>77694.639490041518</v>
      </c>
      <c r="J63" s="259">
        <f>H63</f>
        <v>29.349188588173206</v>
      </c>
      <c r="K63" s="217">
        <f>J63*((1+$J$7)*E63)</f>
        <v>81579.371464543598</v>
      </c>
    </row>
    <row r="64" spans="3:11" ht="15.75" thickBot="1" x14ac:dyDescent="0.3">
      <c r="C64" s="165"/>
      <c r="D64" t="s">
        <v>86</v>
      </c>
      <c r="E64" s="212">
        <v>426.25</v>
      </c>
      <c r="F64" s="121">
        <v>13.28</v>
      </c>
      <c r="G64" s="230">
        <f>E64*F64</f>
        <v>5660.5999999999995</v>
      </c>
      <c r="H64" s="259">
        <f>(F64/$F$61)*$H$61</f>
        <v>29.349188588173206</v>
      </c>
      <c r="I64" s="260">
        <f>H64*E64</f>
        <v>12510.09163570883</v>
      </c>
      <c r="J64" s="259">
        <f>H64</f>
        <v>29.349188588173206</v>
      </c>
      <c r="K64" s="217">
        <f>J64*((1+$J$7)*E64)</f>
        <v>13135.596217494271</v>
      </c>
    </row>
    <row r="65" spans="3:11" ht="15.75" thickBot="1" x14ac:dyDescent="0.3">
      <c r="C65" s="215" t="s">
        <v>87</v>
      </c>
      <c r="D65" s="216"/>
      <c r="E65" s="216"/>
      <c r="F65" s="216"/>
      <c r="G65" s="216"/>
      <c r="H65" s="216"/>
      <c r="I65" s="216"/>
      <c r="J65" s="216"/>
      <c r="K65" s="403"/>
    </row>
    <row r="66" spans="3:11" x14ac:dyDescent="0.25">
      <c r="C66" s="165"/>
      <c r="D66" t="s">
        <v>83</v>
      </c>
      <c r="E66" s="212">
        <v>23874.5</v>
      </c>
      <c r="F66" s="219">
        <v>122.64</v>
      </c>
      <c r="G66" s="217">
        <f>E66*F66</f>
        <v>2927968.68</v>
      </c>
      <c r="H66" s="219">
        <f>MAX(H43,F66)</f>
        <v>130.81980989057132</v>
      </c>
      <c r="I66" s="230">
        <f>H66*E66</f>
        <v>3123257.5512324451</v>
      </c>
      <c r="J66" s="219">
        <f>H66</f>
        <v>130.81980989057132</v>
      </c>
      <c r="K66" s="217">
        <f>J66*((1+$J$7)*E66)</f>
        <v>3279420.4287940674</v>
      </c>
    </row>
    <row r="67" spans="3:11" ht="15.75" thickBot="1" x14ac:dyDescent="0.3">
      <c r="C67" s="165"/>
      <c r="D67" t="s">
        <v>84</v>
      </c>
      <c r="E67" s="212">
        <v>4221</v>
      </c>
      <c r="F67" s="219">
        <v>99.4</v>
      </c>
      <c r="G67" s="217">
        <f>E67*F67</f>
        <v>419567.4</v>
      </c>
      <c r="H67" s="219">
        <f>(F67/F66)*H66</f>
        <v>106.02975459167311</v>
      </c>
      <c r="I67" s="230">
        <f>H67*E67</f>
        <v>447551.59413145221</v>
      </c>
      <c r="J67" s="219">
        <f>H67</f>
        <v>106.02975459167311</v>
      </c>
      <c r="K67" s="217">
        <f>J67*((1+$J$7)*E67)</f>
        <v>469929.17383802484</v>
      </c>
    </row>
    <row r="68" spans="3:11" ht="15.75" thickBot="1" x14ac:dyDescent="0.3">
      <c r="C68" s="215" t="s">
        <v>59</v>
      </c>
      <c r="D68" s="216"/>
      <c r="E68" s="216"/>
      <c r="F68" s="216"/>
      <c r="G68" s="216"/>
      <c r="H68" s="216"/>
      <c r="I68" s="216"/>
      <c r="J68" s="216"/>
      <c r="K68" s="403"/>
    </row>
    <row r="69" spans="3:11" x14ac:dyDescent="0.25">
      <c r="C69" s="165"/>
      <c r="D69" t="s">
        <v>83</v>
      </c>
      <c r="E69" s="212">
        <v>272552.25</v>
      </c>
      <c r="F69" s="121">
        <v>84.64</v>
      </c>
      <c r="G69" s="230">
        <f t="shared" si="2"/>
        <v>23068822.440000001</v>
      </c>
      <c r="H69" s="259">
        <f>MAX(F69,I43)</f>
        <v>178.25116151109802</v>
      </c>
      <c r="I69" s="260">
        <f>H69*E69</f>
        <v>48582755.134963162</v>
      </c>
      <c r="J69" s="259">
        <f>H69</f>
        <v>178.25116151109802</v>
      </c>
      <c r="K69" s="217">
        <f>J69*((1+$J$7)*E69)</f>
        <v>51011892.891711324</v>
      </c>
    </row>
    <row r="70" spans="3:11" x14ac:dyDescent="0.25">
      <c r="C70" s="165"/>
      <c r="D70" t="s">
        <v>84</v>
      </c>
      <c r="E70" s="212">
        <v>29595.75</v>
      </c>
      <c r="F70" s="121">
        <v>67.84</v>
      </c>
      <c r="G70" s="230">
        <f t="shared" si="2"/>
        <v>2007775.6800000002</v>
      </c>
      <c r="H70" s="259">
        <f>(F70/$F$69)*$H$69</f>
        <v>142.87049618280824</v>
      </c>
      <c r="I70" s="260">
        <f>H70*E70</f>
        <v>4228359.4874023469</v>
      </c>
      <c r="J70" s="259">
        <f>H70</f>
        <v>142.87049618280824</v>
      </c>
      <c r="K70" s="217">
        <f>J70*((1+$J$7)*E70)</f>
        <v>4439777.4617724642</v>
      </c>
    </row>
    <row r="71" spans="3:11" x14ac:dyDescent="0.25">
      <c r="C71" s="165"/>
      <c r="D71" t="s">
        <v>85</v>
      </c>
      <c r="E71" s="212">
        <v>25</v>
      </c>
      <c r="F71" s="121">
        <v>36.799999999999997</v>
      </c>
      <c r="G71" s="230">
        <f t="shared" si="2"/>
        <v>919.99999999999989</v>
      </c>
      <c r="H71" s="259">
        <f>(F71/$F$69)*$H$69</f>
        <v>77.500505004825229</v>
      </c>
      <c r="I71" s="260">
        <f>H71*E71</f>
        <v>1937.5126251206307</v>
      </c>
      <c r="J71" s="259">
        <f>H71</f>
        <v>77.500505004825229</v>
      </c>
      <c r="K71" s="217">
        <f>J71*((1+$J$7)*E71)</f>
        <v>2034.3882563766622</v>
      </c>
    </row>
    <row r="72" spans="3:11" ht="15.75" thickBot="1" x14ac:dyDescent="0.3">
      <c r="C72" s="165"/>
      <c r="D72" t="s">
        <v>86</v>
      </c>
      <c r="E72" s="212">
        <v>48</v>
      </c>
      <c r="F72" s="121">
        <v>36.799999999999997</v>
      </c>
      <c r="G72" s="230">
        <f t="shared" si="2"/>
        <v>1766.3999999999999</v>
      </c>
      <c r="H72" s="259">
        <f>(F72/$F$69)*$H$69</f>
        <v>77.500505004825229</v>
      </c>
      <c r="I72" s="260">
        <f>H72*E72</f>
        <v>3720.0242402316107</v>
      </c>
      <c r="J72" s="259">
        <f>H72</f>
        <v>77.500505004825229</v>
      </c>
      <c r="K72" s="217">
        <f>J72*((1+$J$7)*E72)</f>
        <v>3906.0254522431919</v>
      </c>
    </row>
    <row r="73" spans="3:11" ht="15.75" thickBot="1" x14ac:dyDescent="0.3">
      <c r="C73" s="215" t="s">
        <v>60</v>
      </c>
      <c r="D73" s="216"/>
      <c r="E73" s="216"/>
      <c r="F73" s="216"/>
      <c r="G73" s="216"/>
      <c r="H73" s="216"/>
      <c r="I73" s="216"/>
      <c r="J73" s="216"/>
      <c r="K73" s="403"/>
    </row>
    <row r="74" spans="3:11" x14ac:dyDescent="0.25">
      <c r="C74" s="165"/>
      <c r="D74" t="s">
        <v>83</v>
      </c>
      <c r="E74" s="212">
        <v>191783.75</v>
      </c>
      <c r="F74" s="219">
        <v>84.64</v>
      </c>
      <c r="G74" s="217">
        <f t="shared" si="2"/>
        <v>16232576.6</v>
      </c>
      <c r="H74" s="219">
        <f>MAX(J43,F74)</f>
        <v>190.91607738883025</v>
      </c>
      <c r="I74" s="230">
        <f>H74*E74</f>
        <v>36614601.256920069</v>
      </c>
      <c r="J74" s="219">
        <f>H74</f>
        <v>190.91607738883025</v>
      </c>
      <c r="K74" s="217">
        <f>J74*((1+$J$7)*E74)</f>
        <v>38445331.319766074</v>
      </c>
    </row>
    <row r="75" spans="3:11" ht="15.75" thickBot="1" x14ac:dyDescent="0.3">
      <c r="C75" s="165"/>
      <c r="D75" t="s">
        <v>84</v>
      </c>
      <c r="E75" s="212">
        <v>18325.25</v>
      </c>
      <c r="F75" s="219">
        <v>67.84</v>
      </c>
      <c r="G75" s="217">
        <f t="shared" si="2"/>
        <v>1243184.96</v>
      </c>
      <c r="H75" s="219">
        <f>(F75/F74)*H74</f>
        <v>153.02158187686962</v>
      </c>
      <c r="I75" s="230">
        <f>H75*E75</f>
        <v>2804158.7432891051</v>
      </c>
      <c r="J75" s="219">
        <f>H75</f>
        <v>153.02158187686962</v>
      </c>
      <c r="K75" s="217">
        <f>J75*((1+$J$7)*E75)</f>
        <v>2944366.6804535603</v>
      </c>
    </row>
    <row r="76" spans="3:11" ht="15.75" thickBot="1" x14ac:dyDescent="0.3">
      <c r="C76" s="215" t="s">
        <v>61</v>
      </c>
      <c r="D76" s="216"/>
      <c r="E76" s="216"/>
      <c r="F76" s="216"/>
      <c r="G76" s="216"/>
      <c r="H76" s="216"/>
      <c r="I76" s="216"/>
      <c r="J76" s="216"/>
      <c r="K76" s="403"/>
    </row>
    <row r="77" spans="3:11" x14ac:dyDescent="0.25">
      <c r="C77" s="165"/>
      <c r="D77" t="s">
        <v>83</v>
      </c>
      <c r="E77" s="212">
        <v>52767.75</v>
      </c>
      <c r="F77" s="121">
        <v>100.72</v>
      </c>
      <c r="G77" s="230">
        <f t="shared" si="2"/>
        <v>5314767.78</v>
      </c>
      <c r="H77" s="259">
        <f>MAX(F77,K43)</f>
        <v>200.8493447439144</v>
      </c>
      <c r="I77" s="271">
        <f>H77*E77</f>
        <v>10598368.011110689</v>
      </c>
      <c r="J77" s="259">
        <f>H77</f>
        <v>200.8493447439144</v>
      </c>
      <c r="K77" s="404">
        <f>J77*((1+$J$7)*E77)</f>
        <v>11128286.411666224</v>
      </c>
    </row>
    <row r="78" spans="3:11" x14ac:dyDescent="0.25">
      <c r="C78" s="165"/>
      <c r="D78" t="s">
        <v>84</v>
      </c>
      <c r="E78" s="212">
        <v>6164.5</v>
      </c>
      <c r="F78" s="121">
        <v>81.12</v>
      </c>
      <c r="G78" s="230">
        <f t="shared" si="2"/>
        <v>500064.24000000005</v>
      </c>
      <c r="H78" s="259">
        <f>(F78/$F$77)*$H$77</f>
        <v>161.76428559994378</v>
      </c>
      <c r="I78" s="271">
        <f>H78*E78</f>
        <v>997195.9385808534</v>
      </c>
      <c r="J78" s="259">
        <f>H78</f>
        <v>161.76428559994378</v>
      </c>
      <c r="K78" s="404">
        <f>J78*((1+$J$7)*E78)</f>
        <v>1047055.7355098962</v>
      </c>
    </row>
    <row r="79" spans="3:11" x14ac:dyDescent="0.25">
      <c r="C79" s="165"/>
      <c r="D79" t="s">
        <v>85</v>
      </c>
      <c r="E79" s="212">
        <v>0</v>
      </c>
      <c r="F79" s="121">
        <v>20.239999999999998</v>
      </c>
      <c r="G79" s="230">
        <f t="shared" si="2"/>
        <v>0</v>
      </c>
      <c r="H79" s="259">
        <f>(F79/$F$77)*$H$77</f>
        <v>40.361305973161507</v>
      </c>
      <c r="I79" s="271">
        <f>H79*E79</f>
        <v>0</v>
      </c>
      <c r="J79" s="259">
        <f>H79</f>
        <v>40.361305973161507</v>
      </c>
      <c r="K79" s="404">
        <f>J79*((1+$J$7)*E79)</f>
        <v>0</v>
      </c>
    </row>
    <row r="80" spans="3:11" ht="15.75" thickBot="1" x14ac:dyDescent="0.3">
      <c r="C80" s="165"/>
      <c r="D80" t="s">
        <v>86</v>
      </c>
      <c r="E80" s="212">
        <v>22</v>
      </c>
      <c r="F80" s="121">
        <v>20.239999999999998</v>
      </c>
      <c r="G80" s="230">
        <f t="shared" si="2"/>
        <v>445.28</v>
      </c>
      <c r="H80" s="259">
        <f>(F80/$F$77)*$H$77</f>
        <v>40.361305973161507</v>
      </c>
      <c r="I80" s="271">
        <f>H80*E80</f>
        <v>887.94873140955315</v>
      </c>
      <c r="J80" s="259">
        <f>H80</f>
        <v>40.361305973161507</v>
      </c>
      <c r="K80" s="404">
        <f>J80*((1+$J$7)*E80)</f>
        <v>932.34616798003083</v>
      </c>
    </row>
    <row r="81" spans="3:11" ht="15.75" thickBot="1" x14ac:dyDescent="0.3">
      <c r="C81" s="215" t="s">
        <v>62</v>
      </c>
      <c r="D81" s="216"/>
      <c r="E81" s="216"/>
      <c r="F81" s="216"/>
      <c r="G81" s="216"/>
      <c r="H81" s="216"/>
      <c r="I81" s="216"/>
      <c r="J81" s="216"/>
      <c r="K81" s="403"/>
    </row>
    <row r="82" spans="3:11" x14ac:dyDescent="0.25">
      <c r="C82" s="165"/>
      <c r="D82" t="s">
        <v>83</v>
      </c>
      <c r="E82" s="212">
        <v>554</v>
      </c>
      <c r="F82" s="219">
        <v>65.12</v>
      </c>
      <c r="G82" s="217">
        <f t="shared" si="2"/>
        <v>36076.480000000003</v>
      </c>
      <c r="H82" s="219">
        <f>MAX(F82,L43)</f>
        <v>129.64023439215507</v>
      </c>
      <c r="I82" s="230">
        <f>H82*E82</f>
        <v>71820.689853253905</v>
      </c>
      <c r="J82" s="219">
        <f>H82</f>
        <v>129.64023439215507</v>
      </c>
      <c r="K82" s="217">
        <f>J82*((1+$J$7)*E82)</f>
        <v>75411.724345916606</v>
      </c>
    </row>
    <row r="83" spans="3:11" ht="15.75" thickBot="1" x14ac:dyDescent="0.3">
      <c r="C83" s="165"/>
      <c r="D83" t="s">
        <v>84</v>
      </c>
      <c r="E83" s="212">
        <v>26.5</v>
      </c>
      <c r="F83" s="219">
        <v>54.12</v>
      </c>
      <c r="G83" s="217">
        <f t="shared" si="2"/>
        <v>1434.1799999999998</v>
      </c>
      <c r="H83" s="219">
        <f>(F83/F82)*H82</f>
        <v>107.74154615023697</v>
      </c>
      <c r="I83" s="230">
        <f>H83*E83</f>
        <v>2855.1509729812797</v>
      </c>
      <c r="J83" s="219">
        <f>H83</f>
        <v>107.74154615023697</v>
      </c>
      <c r="K83" s="217">
        <f>J83*((1+$J$7)*E83)</f>
        <v>2997.9085216303442</v>
      </c>
    </row>
    <row r="84" spans="3:11" ht="15.75" thickBot="1" x14ac:dyDescent="0.3">
      <c r="C84" s="215" t="s">
        <v>63</v>
      </c>
      <c r="D84" s="216"/>
      <c r="E84" s="216"/>
      <c r="F84" s="216"/>
      <c r="G84" s="216"/>
      <c r="H84" s="216"/>
      <c r="I84" s="216"/>
      <c r="J84" s="216"/>
      <c r="K84" s="403"/>
    </row>
    <row r="85" spans="3:11" x14ac:dyDescent="0.25">
      <c r="C85" s="165"/>
      <c r="D85" t="s">
        <v>83</v>
      </c>
      <c r="E85" s="212">
        <v>519623.5</v>
      </c>
      <c r="F85" s="121">
        <v>84.64</v>
      </c>
      <c r="G85" s="230">
        <f t="shared" si="2"/>
        <v>43980933.039999999</v>
      </c>
      <c r="H85" s="259">
        <f>MAX(F85,M43)</f>
        <v>165.95874315918144</v>
      </c>
      <c r="I85" s="260">
        <f>H85*E85</f>
        <v>86236062.975974917</v>
      </c>
      <c r="J85" s="259">
        <f>H85</f>
        <v>165.95874315918144</v>
      </c>
      <c r="K85" s="217">
        <f>J85*((1+$J$7)*E85)</f>
        <v>90547866.124773666</v>
      </c>
    </row>
    <row r="86" spans="3:11" x14ac:dyDescent="0.25">
      <c r="C86" s="165"/>
      <c r="D86" t="s">
        <v>84</v>
      </c>
      <c r="E86" s="212">
        <v>50365</v>
      </c>
      <c r="F86" s="121">
        <v>67.84</v>
      </c>
      <c r="G86" s="230">
        <f t="shared" si="2"/>
        <v>3416761.6</v>
      </c>
      <c r="H86" s="259">
        <f>(F86/$F$85)*$H$85</f>
        <v>133.01797183268985</v>
      </c>
      <c r="I86" s="260">
        <f>H86*E86</f>
        <v>6699450.1513534244</v>
      </c>
      <c r="J86" s="259">
        <f>H86</f>
        <v>133.01797183268985</v>
      </c>
      <c r="K86" s="217">
        <f>J86*((1+$J$7)*E86)</f>
        <v>7034422.6589210955</v>
      </c>
    </row>
    <row r="87" spans="3:11" x14ac:dyDescent="0.25">
      <c r="C87" s="165"/>
      <c r="D87" t="s">
        <v>85</v>
      </c>
      <c r="E87" s="212">
        <v>1144.25</v>
      </c>
      <c r="F87" s="121">
        <v>36.799999999999997</v>
      </c>
      <c r="G87" s="230">
        <f t="shared" si="2"/>
        <v>42108.399999999994</v>
      </c>
      <c r="H87" s="259">
        <f>(F87/$F$85)*$H$85</f>
        <v>72.155975286600622</v>
      </c>
      <c r="I87" s="260">
        <f>H87*E87</f>
        <v>82564.474721692764</v>
      </c>
      <c r="J87" s="259">
        <f>H87</f>
        <v>72.155975286600622</v>
      </c>
      <c r="K87" s="217">
        <f>J87*((1+$J$7)*E87)</f>
        <v>86692.698457777413</v>
      </c>
    </row>
    <row r="88" spans="3:11" ht="15.75" thickBot="1" x14ac:dyDescent="0.3">
      <c r="C88" s="165"/>
      <c r="D88" t="s">
        <v>86</v>
      </c>
      <c r="E88" s="212">
        <v>470.25</v>
      </c>
      <c r="F88" s="121">
        <v>36.799999999999997</v>
      </c>
      <c r="G88" s="230">
        <f t="shared" si="2"/>
        <v>17305.199999999997</v>
      </c>
      <c r="H88" s="259">
        <f>(F88/$F$85)*$H$85</f>
        <v>72.155975286600622</v>
      </c>
      <c r="I88" s="260">
        <f>H88*E88</f>
        <v>33931.34737852394</v>
      </c>
      <c r="J88" s="259">
        <f>H88</f>
        <v>72.155975286600622</v>
      </c>
      <c r="K88" s="217">
        <f>J88*((1+$J$7)*E88)</f>
        <v>35627.914747450144</v>
      </c>
    </row>
    <row r="89" spans="3:11" ht="15.75" thickBot="1" x14ac:dyDescent="0.3">
      <c r="C89" s="215" t="s">
        <v>88</v>
      </c>
      <c r="D89" s="216"/>
      <c r="E89" s="216"/>
      <c r="F89" s="216"/>
      <c r="G89" s="216"/>
      <c r="H89" s="216"/>
      <c r="I89" s="216"/>
      <c r="J89" s="216"/>
      <c r="K89" s="403"/>
    </row>
    <row r="90" spans="3:11" x14ac:dyDescent="0.25">
      <c r="C90" s="165"/>
      <c r="D90" t="s">
        <v>83</v>
      </c>
      <c r="E90" s="212">
        <v>130302.5</v>
      </c>
      <c r="F90" s="219">
        <v>63.04</v>
      </c>
      <c r="G90" s="217">
        <f t="shared" si="2"/>
        <v>8214269.5999999996</v>
      </c>
      <c r="H90" s="219">
        <f>MAX(F90,N43)</f>
        <v>89.295026883103972</v>
      </c>
      <c r="I90" s="230">
        <f>H90*E90</f>
        <v>11635365.240435656</v>
      </c>
      <c r="J90" s="219">
        <f>H90</f>
        <v>89.295026883103972</v>
      </c>
      <c r="K90" s="217">
        <f>J90*((1+$J$7)*E90)</f>
        <v>12217133.502457438</v>
      </c>
    </row>
    <row r="91" spans="3:11" ht="15.75" thickBot="1" x14ac:dyDescent="0.3">
      <c r="C91" s="165"/>
      <c r="D91" t="s">
        <v>84</v>
      </c>
      <c r="E91" s="212">
        <v>44282</v>
      </c>
      <c r="F91" s="219">
        <v>50</v>
      </c>
      <c r="G91" s="217">
        <f t="shared" si="2"/>
        <v>2214100</v>
      </c>
      <c r="H91" s="219">
        <f>(F91/F90)*H90</f>
        <v>70.82410127149744</v>
      </c>
      <c r="I91" s="230">
        <f>H91*E91</f>
        <v>3136232.8525044494</v>
      </c>
      <c r="J91" s="219">
        <f>H91</f>
        <v>70.82410127149744</v>
      </c>
      <c r="K91" s="217">
        <f>J91*((1+$J$7)*E91)</f>
        <v>3293044.4951296719</v>
      </c>
    </row>
    <row r="92" spans="3:11" ht="15.75" thickBot="1" x14ac:dyDescent="0.3">
      <c r="C92" s="215" t="s">
        <v>65</v>
      </c>
      <c r="D92" s="216"/>
      <c r="E92" s="216"/>
      <c r="F92" s="216"/>
      <c r="G92" s="216"/>
      <c r="H92" s="216"/>
      <c r="I92" s="216"/>
      <c r="J92" s="216"/>
      <c r="K92" s="403"/>
    </row>
    <row r="93" spans="3:11" x14ac:dyDescent="0.25">
      <c r="C93" s="165"/>
      <c r="D93" t="s">
        <v>83</v>
      </c>
      <c r="E93" s="212">
        <v>3656.75</v>
      </c>
      <c r="F93" s="219">
        <v>66.8</v>
      </c>
      <c r="G93" s="217">
        <f t="shared" si="2"/>
        <v>244270.9</v>
      </c>
      <c r="H93" s="219">
        <f>MAX(F93,O43)</f>
        <v>147.62995464532906</v>
      </c>
      <c r="I93" s="230">
        <f>H93*E93</f>
        <v>539845.83664930705</v>
      </c>
      <c r="J93" s="219">
        <f>H93</f>
        <v>147.62995464532906</v>
      </c>
      <c r="K93" s="217">
        <f>J93*((1+$J$7)*E93)</f>
        <v>566838.12848177238</v>
      </c>
    </row>
    <row r="94" spans="3:11" ht="15.75" thickBot="1" x14ac:dyDescent="0.3">
      <c r="C94" s="165"/>
      <c r="D94" t="s">
        <v>84</v>
      </c>
      <c r="E94" s="212">
        <v>476.5</v>
      </c>
      <c r="F94" s="219">
        <v>52.96</v>
      </c>
      <c r="G94" s="217">
        <f t="shared" si="2"/>
        <v>25235.439999999999</v>
      </c>
      <c r="H94" s="219">
        <f>(F94/F93)*H93</f>
        <v>117.04314967090761</v>
      </c>
      <c r="I94" s="230">
        <f>H94*E94</f>
        <v>55771.060818187478</v>
      </c>
      <c r="J94" s="219">
        <f>H94</f>
        <v>117.04314967090761</v>
      </c>
      <c r="K94" s="217">
        <f>J94*((1+$J$7)*E94)</f>
        <v>58559.613859096855</v>
      </c>
    </row>
    <row r="95" spans="3:11" ht="15.75" thickBot="1" x14ac:dyDescent="0.3">
      <c r="C95" s="215" t="s">
        <v>89</v>
      </c>
      <c r="D95" s="216"/>
      <c r="E95" s="216"/>
      <c r="F95" s="216"/>
      <c r="G95" s="216"/>
      <c r="H95" s="216"/>
      <c r="I95" s="300"/>
      <c r="J95" s="216"/>
      <c r="K95" s="405"/>
    </row>
    <row r="96" spans="3:11" x14ac:dyDescent="0.25">
      <c r="C96" s="165"/>
      <c r="D96" t="s">
        <v>83</v>
      </c>
      <c r="E96" s="212">
        <v>19.5</v>
      </c>
      <c r="F96" s="219">
        <v>235.1</v>
      </c>
      <c r="G96" s="217">
        <f>E96*F96</f>
        <v>4584.45</v>
      </c>
      <c r="H96" s="219">
        <f>MAX(P43,P39)</f>
        <v>480.00138238744154</v>
      </c>
      <c r="I96" s="301">
        <f>H96*E96</f>
        <v>9360.0269565551098</v>
      </c>
      <c r="J96" s="219">
        <f>H96</f>
        <v>480.00138238744154</v>
      </c>
      <c r="K96" s="406">
        <f>J96*((1+$J$7)*E96)</f>
        <v>9828.0283043828658</v>
      </c>
    </row>
    <row r="97" spans="1:16" ht="15.75" thickBot="1" x14ac:dyDescent="0.3">
      <c r="C97" s="166"/>
      <c r="D97" s="167" t="s">
        <v>84</v>
      </c>
      <c r="E97" s="213">
        <v>594.5</v>
      </c>
      <c r="F97" s="220">
        <v>235.1</v>
      </c>
      <c r="G97" s="218">
        <f>E97*F97</f>
        <v>139766.94999999998</v>
      </c>
      <c r="H97" s="220">
        <f>MAX(P39,P43)</f>
        <v>480.00138238744154</v>
      </c>
      <c r="I97" s="364">
        <f>H97*E97</f>
        <v>285360.82182933402</v>
      </c>
      <c r="J97" s="220">
        <f>H97</f>
        <v>480.00138238744154</v>
      </c>
      <c r="K97" s="218">
        <f>J97*((1+$J$7)*E97)</f>
        <v>299628.86292080069</v>
      </c>
    </row>
    <row r="98" spans="1:16" ht="15.75" thickBot="1" x14ac:dyDescent="0.3">
      <c r="E98" s="4"/>
      <c r="F98" s="18"/>
      <c r="G98" s="18"/>
      <c r="K98" s="407"/>
    </row>
    <row r="99" spans="1:16" ht="15.75" thickBot="1" x14ac:dyDescent="0.3">
      <c r="C99" s="171" t="s">
        <v>90</v>
      </c>
      <c r="D99" s="172"/>
      <c r="E99" s="172"/>
      <c r="F99" s="172"/>
      <c r="G99" s="279">
        <f>SUM(G53:G97)</f>
        <v>143540907.86999997</v>
      </c>
      <c r="H99" s="170"/>
      <c r="I99" s="279">
        <f>SUM(I53:I97)</f>
        <v>290197045.11617857</v>
      </c>
      <c r="J99" s="170"/>
      <c r="K99" s="279">
        <f>SUM(K53:K97)</f>
        <v>304706897.37198752</v>
      </c>
    </row>
    <row r="100" spans="1:16" x14ac:dyDescent="0.25">
      <c r="C100" s="1"/>
    </row>
    <row r="101" spans="1:16" x14ac:dyDescent="0.25">
      <c r="C101" s="1"/>
    </row>
    <row r="102" spans="1:16" x14ac:dyDescent="0.25">
      <c r="C102" s="1"/>
    </row>
    <row r="103" spans="1:16" x14ac:dyDescent="0.25">
      <c r="A103" s="10"/>
      <c r="B103" s="10" t="s">
        <v>42</v>
      </c>
      <c r="C103" s="10"/>
      <c r="D103" s="10"/>
      <c r="E103" s="10"/>
      <c r="F103" s="10"/>
      <c r="G103" s="10"/>
      <c r="H103" s="10"/>
      <c r="I103" s="10"/>
      <c r="J103" s="10"/>
      <c r="K103" s="10"/>
      <c r="L103" s="10"/>
      <c r="M103" s="10"/>
      <c r="N103" s="10"/>
      <c r="O103" s="10"/>
      <c r="P103" s="10"/>
    </row>
    <row r="104" spans="1:16" ht="15.75" thickBot="1" x14ac:dyDescent="0.3"/>
    <row r="105" spans="1:16" ht="30.75" thickBot="1" x14ac:dyDescent="0.3">
      <c r="D105" s="349" t="s">
        <v>91</v>
      </c>
      <c r="E105" s="324" t="s">
        <v>92</v>
      </c>
      <c r="F105" s="325" t="s">
        <v>93</v>
      </c>
      <c r="G105" s="326" t="s">
        <v>94</v>
      </c>
      <c r="H105" s="326" t="s">
        <v>95</v>
      </c>
      <c r="I105" s="326" t="s">
        <v>96</v>
      </c>
      <c r="J105" s="327" t="s">
        <v>97</v>
      </c>
    </row>
    <row r="106" spans="1:16" s="10" customFormat="1" x14ac:dyDescent="0.25">
      <c r="A106" s="74"/>
      <c r="B106" s="74"/>
      <c r="C106"/>
      <c r="D106" s="165" t="s">
        <v>98</v>
      </c>
      <c r="E106" s="328">
        <f>Infrastructure!H6</f>
        <v>8605540.4824496061</v>
      </c>
      <c r="F106" s="58">
        <f>Infrastructure!C6</f>
        <v>2059222.0559316131</v>
      </c>
      <c r="G106" s="58">
        <f>Infrastructure!D6</f>
        <v>500000.45445095998</v>
      </c>
      <c r="H106" s="58">
        <f>Infrastructure!E6</f>
        <v>3444530</v>
      </c>
      <c r="I106" s="58">
        <f>Infrastructure!F6</f>
        <v>935182.97206703201</v>
      </c>
      <c r="J106" s="328">
        <f>Infrastructure!G6</f>
        <v>1666605</v>
      </c>
      <c r="K106"/>
      <c r="L106"/>
      <c r="M106"/>
      <c r="N106"/>
      <c r="O106"/>
      <c r="P106"/>
    </row>
    <row r="107" spans="1:16" x14ac:dyDescent="0.25">
      <c r="D107" s="165" t="s">
        <v>99</v>
      </c>
      <c r="E107" s="328">
        <f>Infrastructure!H7</f>
        <v>10328017.970777405</v>
      </c>
      <c r="F107" s="58">
        <f>Infrastructure!C7</f>
        <v>2325274.934610703</v>
      </c>
      <c r="G107" s="58">
        <f>Infrastructure!D7</f>
        <v>830667.97824181174</v>
      </c>
      <c r="H107" s="58">
        <f>Infrastructure!E7</f>
        <v>4263629.5723696807</v>
      </c>
      <c r="I107" s="58">
        <f>Infrastructure!F7</f>
        <v>1241840.4855552095</v>
      </c>
      <c r="J107" s="328">
        <f>Infrastructure!G7</f>
        <v>1666605</v>
      </c>
    </row>
    <row r="108" spans="1:16" x14ac:dyDescent="0.25">
      <c r="D108" s="309" t="s">
        <v>100</v>
      </c>
      <c r="E108" s="329">
        <f>Infrastructure!H8</f>
        <v>1722477.4883278003</v>
      </c>
      <c r="F108" s="19">
        <f>Infrastructure!C8</f>
        <v>266052.87867909018</v>
      </c>
      <c r="G108" s="19">
        <f>Infrastructure!D8</f>
        <v>330667.52379085176</v>
      </c>
      <c r="H108" s="19">
        <f>Infrastructure!E8</f>
        <v>819099.57236968062</v>
      </c>
      <c r="I108" s="19">
        <f>Infrastructure!F8</f>
        <v>306657.51348817744</v>
      </c>
      <c r="J108" s="329">
        <f>Infrastructure!G8</f>
        <v>0</v>
      </c>
    </row>
    <row r="109" spans="1:16" x14ac:dyDescent="0.25">
      <c r="D109" s="330" t="s">
        <v>101</v>
      </c>
      <c r="E109" s="315">
        <f>Infrastructure!H9</f>
        <v>1576045.929631541</v>
      </c>
      <c r="F109" s="331">
        <f>Infrastructure!C9</f>
        <v>221148.85825114176</v>
      </c>
      <c r="G109" s="331">
        <f>Infrastructure!D9</f>
        <v>318640.03015732294</v>
      </c>
      <c r="H109" s="331">
        <f>Infrastructure!E9</f>
        <v>757655.01689690957</v>
      </c>
      <c r="I109" s="331">
        <f>Infrastructure!F9</f>
        <v>278602.02432616649</v>
      </c>
      <c r="J109" s="315">
        <f>Infrastructure!G9</f>
        <v>0</v>
      </c>
    </row>
    <row r="110" spans="1:16" ht="15.75" thickBot="1" x14ac:dyDescent="0.3">
      <c r="D110" s="332" t="s">
        <v>102</v>
      </c>
      <c r="E110" s="333">
        <f>Infrastructure!H10</f>
        <v>146431.55869625922</v>
      </c>
      <c r="F110" s="334">
        <f>Infrastructure!C10</f>
        <v>44904.020427948388</v>
      </c>
      <c r="G110" s="334">
        <f>Infrastructure!D10</f>
        <v>12027.4936335288</v>
      </c>
      <c r="H110" s="334">
        <f>Infrastructure!E10</f>
        <v>61444.555472771077</v>
      </c>
      <c r="I110" s="334">
        <f>Infrastructure!F10</f>
        <v>28055.489162010959</v>
      </c>
      <c r="J110" s="333">
        <f>Infrastructure!G10</f>
        <v>0</v>
      </c>
    </row>
    <row r="112" spans="1:16" ht="15.75" thickBot="1" x14ac:dyDescent="0.3"/>
    <row r="113" spans="4:9" ht="15.75" thickBot="1" x14ac:dyDescent="0.3">
      <c r="D113" s="203" t="s">
        <v>103</v>
      </c>
      <c r="E113" s="233"/>
      <c r="F113" s="233"/>
      <c r="G113" s="272">
        <f>E106/(E8+E11+E17)</f>
        <v>4.1264963180014429E-2</v>
      </c>
      <c r="H113" s="233"/>
      <c r="I113" s="273">
        <f>E107/F19</f>
        <v>2.7276620987935627E-2</v>
      </c>
    </row>
  </sheetData>
  <sheetProtection algorithmName="SHA-512" hashValue="3G4aCznY/d93l+to967vjS5pC0/ucuDSL93RxbsEYUm5Iny589exvp6W1B0qIPK+tyRdCl972GPr3KB9rlE7Tg==" saltValue="F9j3FB/Yt9DoR7kkZVCd+A==" spinCount="100000" sheet="1"/>
  <mergeCells count="3">
    <mergeCell ref="F50:G50"/>
    <mergeCell ref="J50:K50"/>
    <mergeCell ref="H50:I50"/>
  </mergeCells>
  <hyperlinks>
    <hyperlink ref="G29" r:id="rId1" xr:uid="{8AEACD4D-D105-44A6-9B69-33E22A23F129}"/>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F818E-7B3E-49C8-A223-FA53A8D21DB0}">
  <sheetPr>
    <tabColor theme="3"/>
  </sheetPr>
  <dimension ref="B1:R50"/>
  <sheetViews>
    <sheetView showGridLines="0" zoomScale="90" zoomScaleNormal="90" workbookViewId="0">
      <pane xSplit="4" ySplit="3" topLeftCell="E4" activePane="bottomRight" state="frozen"/>
      <selection pane="topRight" activeCell="E1" sqref="E1"/>
      <selection pane="bottomLeft" activeCell="A4" sqref="A4"/>
      <selection pane="bottomRight" activeCell="F12" sqref="F12"/>
    </sheetView>
  </sheetViews>
  <sheetFormatPr defaultColWidth="15.7109375" defaultRowHeight="15" x14ac:dyDescent="0.25"/>
  <cols>
    <col min="1" max="2" width="2.7109375" customWidth="1"/>
    <col min="3" max="3" width="31.5703125" customWidth="1"/>
    <col min="4" max="4" width="22.28515625" customWidth="1"/>
    <col min="5" max="18" width="12.7109375" customWidth="1"/>
  </cols>
  <sheetData>
    <row r="1" spans="2:18" ht="15.75" x14ac:dyDescent="0.25">
      <c r="B1" s="6" t="s">
        <v>25</v>
      </c>
      <c r="E1" s="26"/>
      <c r="F1" s="26"/>
      <c r="G1" s="26"/>
      <c r="H1" s="26"/>
      <c r="I1" s="26"/>
      <c r="J1" s="26"/>
      <c r="K1" s="26"/>
      <c r="L1" s="26"/>
      <c r="M1" s="26"/>
      <c r="N1" s="26"/>
      <c r="O1" s="26"/>
      <c r="P1" s="26"/>
      <c r="Q1" s="26"/>
      <c r="R1" s="16"/>
    </row>
    <row r="2" spans="2:18" ht="15.75" x14ac:dyDescent="0.25">
      <c r="B2" s="7" t="s">
        <v>104</v>
      </c>
      <c r="E2" s="26"/>
      <c r="F2" s="26"/>
      <c r="G2" s="26"/>
      <c r="H2" s="26"/>
      <c r="I2" s="26"/>
      <c r="J2" s="26"/>
      <c r="K2" s="26"/>
      <c r="L2" s="26"/>
      <c r="M2" s="26"/>
      <c r="N2" s="26"/>
      <c r="O2" s="26"/>
      <c r="P2" s="26"/>
      <c r="Q2" s="26"/>
      <c r="R2" s="16"/>
    </row>
    <row r="3" spans="2:18" ht="15.75" x14ac:dyDescent="0.25">
      <c r="B3" s="8" t="s">
        <v>27</v>
      </c>
      <c r="E3" s="26"/>
      <c r="F3" s="26"/>
      <c r="G3" s="26"/>
      <c r="H3" s="26"/>
      <c r="I3" s="26"/>
      <c r="J3" s="26"/>
      <c r="K3" s="26"/>
      <c r="L3" s="26"/>
      <c r="M3" s="26"/>
      <c r="N3" s="26"/>
      <c r="O3" s="26"/>
      <c r="P3" s="26"/>
      <c r="Q3" s="26"/>
      <c r="R3" s="16"/>
    </row>
    <row r="4" spans="2:18" ht="16.5" thickBot="1" x14ac:dyDescent="0.3">
      <c r="B4" s="8"/>
      <c r="E4" s="26"/>
      <c r="F4" s="26"/>
      <c r="G4" s="26"/>
      <c r="H4" s="26"/>
      <c r="I4" s="26"/>
      <c r="J4" s="26"/>
      <c r="K4" s="26"/>
      <c r="L4" s="26"/>
      <c r="M4" s="26"/>
      <c r="N4" s="26"/>
      <c r="O4" s="26"/>
      <c r="P4" s="26"/>
      <c r="Q4" s="26"/>
      <c r="R4" s="16"/>
    </row>
    <row r="5" spans="2:18" ht="16.5" thickBot="1" x14ac:dyDescent="0.3">
      <c r="B5" s="8"/>
      <c r="C5" s="280" t="s">
        <v>105</v>
      </c>
      <c r="D5" s="281"/>
      <c r="E5" s="26"/>
      <c r="F5" s="26"/>
      <c r="G5" s="174" t="s">
        <v>106</v>
      </c>
      <c r="H5" s="168"/>
      <c r="I5" s="169"/>
      <c r="K5" s="174" t="s">
        <v>107</v>
      </c>
      <c r="L5" s="177"/>
      <c r="M5" s="178"/>
      <c r="N5" s="26"/>
      <c r="O5" s="26"/>
      <c r="P5" s="26"/>
      <c r="Q5" s="26"/>
      <c r="R5" s="16"/>
    </row>
    <row r="6" spans="2:18" ht="15.75" x14ac:dyDescent="0.25">
      <c r="B6" s="8"/>
      <c r="C6" s="282" t="str">
        <f>'Wage Assumptions'!$C$14</f>
        <v>Audiologist</v>
      </c>
      <c r="D6" s="283">
        <f t="shared" ref="D6:D13" si="0">(G18*$I$6)+(G30*$I$7)+(G42*$I$8)+(J18*$I$9)+(J30*$I$10)+(J42*$I$11)</f>
        <v>168.13164539310606</v>
      </c>
      <c r="E6" s="26"/>
      <c r="F6" s="26"/>
      <c r="G6" s="165" t="s">
        <v>108</v>
      </c>
      <c r="H6" s="173"/>
      <c r="I6" s="175">
        <v>0.45262424330330719</v>
      </c>
      <c r="K6" s="165" t="s">
        <v>109</v>
      </c>
      <c r="M6" s="179">
        <v>0.49613500688810652</v>
      </c>
      <c r="N6" s="26"/>
      <c r="O6" s="26"/>
      <c r="P6" s="26"/>
      <c r="Q6" s="26"/>
      <c r="R6" s="16"/>
    </row>
    <row r="7" spans="2:18" ht="15.75" x14ac:dyDescent="0.25">
      <c r="B7" s="8"/>
      <c r="C7" s="284" t="str">
        <f>'Wage Assumptions'!$C$15</f>
        <v>Developmental Therapist</v>
      </c>
      <c r="D7" s="285">
        <f t="shared" si="0"/>
        <v>147.62995464532906</v>
      </c>
      <c r="E7" s="26"/>
      <c r="F7" s="26"/>
      <c r="G7" s="165" t="s">
        <v>110</v>
      </c>
      <c r="H7" s="173"/>
      <c r="I7" s="175">
        <v>9.6867179828312583E-2</v>
      </c>
      <c r="K7" s="165" t="s">
        <v>111</v>
      </c>
      <c r="M7" s="179">
        <v>0.18071712842491963</v>
      </c>
      <c r="N7" s="26"/>
      <c r="O7" s="26"/>
      <c r="P7" s="26"/>
      <c r="Q7" s="26"/>
      <c r="R7" s="16"/>
    </row>
    <row r="8" spans="2:18" ht="16.5" thickBot="1" x14ac:dyDescent="0.3">
      <c r="B8" s="8"/>
      <c r="C8" s="284" t="str">
        <f>'Wage Assumptions'!$C$16</f>
        <v>Occupational Therapist</v>
      </c>
      <c r="D8" s="285">
        <f t="shared" si="0"/>
        <v>178.25116151109802</v>
      </c>
      <c r="E8" s="26"/>
      <c r="F8" s="26"/>
      <c r="G8" s="165" t="s">
        <v>112</v>
      </c>
      <c r="I8" s="175">
        <v>0.10014821335387314</v>
      </c>
      <c r="K8" s="166" t="s">
        <v>113</v>
      </c>
      <c r="L8" s="167"/>
      <c r="M8" s="180">
        <v>0.32314786468697382</v>
      </c>
      <c r="N8" s="26"/>
      <c r="O8" s="26"/>
      <c r="P8" s="26"/>
      <c r="Q8" s="26"/>
      <c r="R8" s="16"/>
    </row>
    <row r="9" spans="2:18" ht="15.75" x14ac:dyDescent="0.25">
      <c r="B9" s="8"/>
      <c r="C9" s="284" t="str">
        <f>'Wage Assumptions'!$C$17</f>
        <v>Physical Therapist</v>
      </c>
      <c r="D9" s="285">
        <f t="shared" si="0"/>
        <v>190.91607738883025</v>
      </c>
      <c r="E9" s="26"/>
      <c r="F9" s="26"/>
      <c r="G9" s="165" t="s">
        <v>114</v>
      </c>
      <c r="I9" s="175">
        <v>0.2381650219819243</v>
      </c>
      <c r="N9" s="26"/>
      <c r="O9" s="26"/>
      <c r="P9" s="26"/>
      <c r="Q9" s="26"/>
      <c r="R9" s="16"/>
    </row>
    <row r="10" spans="2:18" ht="15.75" x14ac:dyDescent="0.25">
      <c r="B10" s="8"/>
      <c r="C10" s="284" t="str">
        <f>'Wage Assumptions'!$C$18</f>
        <v>Psychologist</v>
      </c>
      <c r="D10" s="285">
        <f t="shared" si="0"/>
        <v>200.8493447439144</v>
      </c>
      <c r="E10" s="26"/>
      <c r="F10" s="26"/>
      <c r="G10" s="165" t="s">
        <v>115</v>
      </c>
      <c r="I10" s="175">
        <v>4.6893104661301643E-2</v>
      </c>
      <c r="N10" s="26"/>
      <c r="O10" s="26"/>
      <c r="P10" s="26"/>
      <c r="Q10" s="26"/>
      <c r="R10" s="16"/>
    </row>
    <row r="11" spans="2:18" ht="16.5" thickBot="1" x14ac:dyDescent="0.3">
      <c r="B11" s="8"/>
      <c r="C11" s="284" t="str">
        <f>'Wage Assumptions'!$C$19</f>
        <v>Social Worker</v>
      </c>
      <c r="D11" s="285">
        <f t="shared" si="0"/>
        <v>129.64023439215507</v>
      </c>
      <c r="E11" s="26"/>
      <c r="F11" s="26"/>
      <c r="G11" s="166" t="s">
        <v>116</v>
      </c>
      <c r="H11" s="167"/>
      <c r="I11" s="176">
        <v>6.5302236871281116E-2</v>
      </c>
      <c r="N11" s="26"/>
      <c r="O11" s="26"/>
      <c r="P11" s="26"/>
      <c r="Q11" s="26"/>
      <c r="R11" s="16"/>
    </row>
    <row r="12" spans="2:18" ht="15.75" x14ac:dyDescent="0.25">
      <c r="B12" s="8"/>
      <c r="C12" s="284" t="str">
        <f>'Wage Assumptions'!$C$20</f>
        <v>Speech Language Pathologist</v>
      </c>
      <c r="D12" s="285">
        <f t="shared" si="0"/>
        <v>165.95874315918144</v>
      </c>
      <c r="E12" s="26"/>
      <c r="F12" s="26"/>
      <c r="G12" s="26"/>
      <c r="H12" s="26"/>
      <c r="I12" s="26"/>
      <c r="J12" s="26"/>
      <c r="K12" s="26"/>
      <c r="L12" s="26"/>
      <c r="M12" s="26"/>
      <c r="N12" s="26"/>
      <c r="O12" s="26"/>
      <c r="P12" s="26"/>
      <c r="Q12" s="26"/>
      <c r="R12" s="16"/>
    </row>
    <row r="13" spans="2:18" ht="15.75" x14ac:dyDescent="0.25">
      <c r="B13" s="8"/>
      <c r="C13" s="284" t="str">
        <f>'Wage Assumptions'!$C$21</f>
        <v>Nutritionist</v>
      </c>
      <c r="D13" s="285">
        <f t="shared" si="0"/>
        <v>130.81980989057132</v>
      </c>
      <c r="E13" s="26"/>
      <c r="F13" s="26"/>
      <c r="G13" s="26"/>
      <c r="H13" s="26"/>
      <c r="I13" s="26"/>
      <c r="J13" s="26"/>
      <c r="K13" s="26"/>
      <c r="L13" s="26"/>
      <c r="M13" s="26"/>
      <c r="N13" s="26"/>
      <c r="O13" s="26"/>
      <c r="P13" s="26"/>
      <c r="Q13" s="26"/>
      <c r="R13" s="16"/>
    </row>
    <row r="14" spans="2:18" ht="16.5" thickBot="1" x14ac:dyDescent="0.3">
      <c r="B14" s="8"/>
      <c r="C14" s="286" t="str">
        <f>'Wage Assumptions'!$C$22</f>
        <v>Interpreter / Translator</v>
      </c>
      <c r="D14" s="287">
        <f>(J26*M6)+(J38*M7)+(J50*M8)</f>
        <v>89.295026883103972</v>
      </c>
      <c r="E14" s="26"/>
      <c r="F14" s="26"/>
      <c r="G14" s="26"/>
      <c r="H14" s="26"/>
      <c r="I14" s="26"/>
      <c r="J14" s="26"/>
      <c r="K14" s="26"/>
      <c r="L14" s="26"/>
      <c r="M14" s="26"/>
      <c r="N14" s="26"/>
      <c r="O14" s="26"/>
      <c r="P14" s="26"/>
      <c r="Q14" s="26"/>
      <c r="R14" s="16"/>
    </row>
    <row r="15" spans="2:18" ht="15.75" thickBot="1" x14ac:dyDescent="0.3"/>
    <row r="16" spans="2:18" s="122" customFormat="1" ht="16.5" thickBot="1" x14ac:dyDescent="0.3">
      <c r="E16" s="443" t="s">
        <v>117</v>
      </c>
      <c r="F16" s="444"/>
      <c r="G16" s="445"/>
      <c r="H16" s="443" t="s">
        <v>118</v>
      </c>
      <c r="I16" s="444"/>
      <c r="J16" s="445"/>
    </row>
    <row r="17" spans="3:10" s="65" customFormat="1" ht="45.75" thickBot="1" x14ac:dyDescent="0.3">
      <c r="C17" s="162" t="s">
        <v>119</v>
      </c>
      <c r="D17" s="163" t="s">
        <v>120</v>
      </c>
      <c r="E17" s="200" t="s">
        <v>121</v>
      </c>
      <c r="F17" s="164" t="s">
        <v>122</v>
      </c>
      <c r="G17" s="211" t="s">
        <v>123</v>
      </c>
      <c r="H17" s="200" t="s">
        <v>121</v>
      </c>
      <c r="I17" s="164" t="s">
        <v>122</v>
      </c>
      <c r="J17" s="211" t="s">
        <v>123</v>
      </c>
    </row>
    <row r="18" spans="3:10" ht="15.75" x14ac:dyDescent="0.25">
      <c r="C18" s="288" t="str">
        <f>'Wage Assumptions'!$C$14</f>
        <v>Audiologist</v>
      </c>
      <c r="D18" s="289">
        <v>53.51</v>
      </c>
      <c r="E18" s="290">
        <f>IFERROR(INDEX(Agency!$H$92:$H$99,MATCH($C18,Agency!$D$92:$D$99,0)),"")</f>
        <v>62.816839569200134</v>
      </c>
      <c r="F18" s="291">
        <f>IFERROR(INDEX(Agency!$I$92:$I$99,MATCH($C18,Agency!$D$92:$D$99,0)),"")</f>
        <v>0.39</v>
      </c>
      <c r="G18" s="292">
        <f>IFERROR(INDEX(Agency!$J$92:$J$99,MATCH($C18,Agency!$D$92:$D$99,0)),"")</f>
        <v>161.06881940820546</v>
      </c>
      <c r="H18" s="290">
        <f>IFERROR(INDEX(SelfEmployed!$E$29:$M$29,MATCH($C18,SelfEmployed!$E$4:$M$4,0)),"")</f>
        <v>61.617372635058857</v>
      </c>
      <c r="I18" s="291">
        <f>IFERROR(INDEX(SelfEmployed!$E$35:$M$35,MATCH($C18,SelfEmployed!$E$4:$M$4,0)),"")</f>
        <v>0.34</v>
      </c>
      <c r="J18" s="394">
        <f>IFERROR(INDEX(SelfEmployed!$E$37:$M$37,MATCH($C18,SelfEmployed!$E$4:$M$4,0)),"")</f>
        <v>181.22756657370252</v>
      </c>
    </row>
    <row r="19" spans="3:10" ht="15.75" x14ac:dyDescent="0.25">
      <c r="C19" s="293" t="str">
        <f>'Wage Assumptions'!$C$15</f>
        <v>Developmental Therapist</v>
      </c>
      <c r="D19" s="289">
        <v>66.8</v>
      </c>
      <c r="E19" s="290">
        <f>IFERROR(INDEX(Agency!$H$92:$H$99,MATCH($C19,Agency!$D$92:$D$99,0)),"")</f>
        <v>55.383344953815524</v>
      </c>
      <c r="F19" s="291">
        <f>IFERROR(INDEX(Agency!$I$92:$I$99,MATCH($C19,Agency!$D$92:$D$99,0)),"")</f>
        <v>0.39</v>
      </c>
      <c r="G19" s="292">
        <f>IFERROR(INDEX(Agency!$J$92:$J$99,MATCH($C19,Agency!$D$92:$D$99,0)),"")</f>
        <v>142.00857680465518</v>
      </c>
      <c r="H19" s="290">
        <f>IFERROR(INDEX(SelfEmployed!$E$29:$M$29,MATCH($C19,SelfEmployed!$E$4:$M$4,0)),"")</f>
        <v>53.738066481212705</v>
      </c>
      <c r="I19" s="291">
        <f>IFERROR(INDEX(SelfEmployed!$E$35:$M$35,MATCH($C19,SelfEmployed!$E$4:$M$4,0)),"")</f>
        <v>0.34</v>
      </c>
      <c r="J19" s="394">
        <f>IFERROR(INDEX(SelfEmployed!$E$37:$M$37,MATCH($C19,SelfEmployed!$E$4:$M$4,0)),"")</f>
        <v>158.05313670944912</v>
      </c>
    </row>
    <row r="20" spans="3:10" ht="15.75" x14ac:dyDescent="0.25">
      <c r="C20" s="293" t="str">
        <f>'Wage Assumptions'!$C$16</f>
        <v>Occupational Therapist</v>
      </c>
      <c r="D20" s="289">
        <v>84.64</v>
      </c>
      <c r="E20" s="290">
        <f>IFERROR(INDEX(Agency!$H$92:$H$99,MATCH($C20,Agency!$D$92:$D$99,0)),"")</f>
        <v>66.485969569200137</v>
      </c>
      <c r="F20" s="291">
        <f>IFERROR(INDEX(Agency!$I$92:$I$99,MATCH($C20,Agency!$D$92:$D$99,0)),"")</f>
        <v>0.39</v>
      </c>
      <c r="G20" s="292">
        <f>IFERROR(INDEX(Agency!$J$92:$J$99,MATCH($C20,Agency!$D$92:$D$99,0)),"")</f>
        <v>170.47684504923112</v>
      </c>
      <c r="H20" s="290">
        <f>IFERROR(INDEX(SelfEmployed!$E$29:$M$29,MATCH($C20,SelfEmployed!$E$4:$M$4,0)),"")</f>
        <v>65.506552635058853</v>
      </c>
      <c r="I20" s="291">
        <f>IFERROR(INDEX(SelfEmployed!$E$35:$M$35,MATCH($C20,SelfEmployed!$E$4:$M$4,0)),"")</f>
        <v>0.34</v>
      </c>
      <c r="J20" s="394">
        <f>IFERROR(INDEX(SelfEmployed!$E$37:$M$37,MATCH($C20,SelfEmployed!$E$4:$M$4,0)),"")</f>
        <v>192.66633127958485</v>
      </c>
    </row>
    <row r="21" spans="3:10" ht="15.75" x14ac:dyDescent="0.25">
      <c r="C21" s="293" t="str">
        <f>'Wage Assumptions'!$C$17</f>
        <v>Physical Therapist</v>
      </c>
      <c r="D21" s="289">
        <v>84.64</v>
      </c>
      <c r="E21" s="290">
        <f>IFERROR(INDEX(Agency!$H$92:$H$99,MATCH($C21,Agency!$D$92:$D$99,0)),"")</f>
        <v>71.078009569200134</v>
      </c>
      <c r="F21" s="291">
        <f>IFERROR(INDEX(Agency!$I$92:$I$99,MATCH($C21,Agency!$D$92:$D$99,0)),"")</f>
        <v>0.39</v>
      </c>
      <c r="G21" s="292">
        <f>IFERROR(INDEX(Agency!$J$92:$J$99,MATCH($C21,Agency!$D$92:$D$99,0)),"")</f>
        <v>182.25130658769265</v>
      </c>
      <c r="H21" s="290">
        <f>IFERROR(INDEX(SelfEmployed!$E$29:$M$29,MATCH($C21,SelfEmployed!$E$4:$M$4,0)),"")</f>
        <v>70.373992635058855</v>
      </c>
      <c r="I21" s="291">
        <f>IFERROR(INDEX(SelfEmployed!$E$35:$M$35,MATCH($C21,SelfEmployed!$E$4:$M$4,0)),"")</f>
        <v>0.34</v>
      </c>
      <c r="J21" s="394">
        <f>IFERROR(INDEX(SelfEmployed!$E$37:$M$37,MATCH($C21,SelfEmployed!$E$4:$M$4,0)),"")</f>
        <v>206.98233127958486</v>
      </c>
    </row>
    <row r="22" spans="3:10" ht="15.75" x14ac:dyDescent="0.25">
      <c r="C22" s="293" t="str">
        <f>'Wage Assumptions'!$C$18</f>
        <v>Psychologist</v>
      </c>
      <c r="D22" s="289">
        <v>100.72</v>
      </c>
      <c r="E22" s="290">
        <f>IFERROR(INDEX(Agency!$H$92:$H$99,MATCH($C22,Agency!$D$92:$D$99,0)),"")</f>
        <v>74.679609569200139</v>
      </c>
      <c r="F22" s="291">
        <f>IFERROR(INDEX(Agency!$I$92:$I$99,MATCH($C22,Agency!$D$92:$D$99,0)),"")</f>
        <v>0.39</v>
      </c>
      <c r="G22" s="292">
        <f>IFERROR(INDEX(Agency!$J$92:$J$99,MATCH($C22,Agency!$D$92:$D$99,0)),"")</f>
        <v>191.48617838256445</v>
      </c>
      <c r="H22" s="290">
        <f>IFERROR(INDEX(SelfEmployed!$E$29:$M$29,MATCH($C22,SelfEmployed!$E$4:$M$4,0)),"")</f>
        <v>74.191592635058868</v>
      </c>
      <c r="I22" s="291">
        <f>IFERROR(INDEX(SelfEmployed!$E$35:$M$35,MATCH($C22,SelfEmployed!$E$4:$M$4,0)),"")</f>
        <v>0.34</v>
      </c>
      <c r="J22" s="394">
        <f>IFERROR(INDEX(SelfEmployed!$E$37:$M$37,MATCH($C22,SelfEmployed!$E$4:$M$4,0)),"")</f>
        <v>218.21056657370255</v>
      </c>
    </row>
    <row r="23" spans="3:10" ht="15.75" x14ac:dyDescent="0.25">
      <c r="C23" s="293" t="str">
        <f>'Wage Assumptions'!$C$19</f>
        <v>Social Worker</v>
      </c>
      <c r="D23" s="289">
        <v>65.12</v>
      </c>
      <c r="E23" s="290">
        <f>IFERROR(INDEX(Agency!$H$92:$H$99,MATCH($C23,Agency!$D$92:$D$99,0)),"")</f>
        <v>48.860639569200131</v>
      </c>
      <c r="F23" s="291">
        <f>IFERROR(INDEX(Agency!$I$92:$I$99,MATCH($C23,Agency!$D$92:$D$99,0)),"")</f>
        <v>0.39</v>
      </c>
      <c r="G23" s="292">
        <f>IFERROR(INDEX(Agency!$J$92:$J$99,MATCH($C23,Agency!$D$92:$D$99,0)),"")</f>
        <v>125.28369120307725</v>
      </c>
      <c r="H23" s="290">
        <f>IFERROR(INDEX(SelfEmployed!$E$29:$M$29,MATCH($C23,SelfEmployed!$E$4:$M$4,0)),"")</f>
        <v>46.824172635058858</v>
      </c>
      <c r="I23" s="291">
        <f>IFERROR(INDEX(SelfEmployed!$E$35:$M$35,MATCH($C23,SelfEmployed!$E$4:$M$4,0)),"")</f>
        <v>0.34</v>
      </c>
      <c r="J23" s="394">
        <f>IFERROR(INDEX(SelfEmployed!$E$37:$M$37,MATCH($C23,SelfEmployed!$E$4:$M$4,0)),"")</f>
        <v>137.71815480899664</v>
      </c>
    </row>
    <row r="24" spans="3:10" ht="15.75" x14ac:dyDescent="0.25">
      <c r="C24" s="293" t="str">
        <f>'Wage Assumptions'!$C$20</f>
        <v>Speech Language Pathologist</v>
      </c>
      <c r="D24" s="289">
        <v>84.64</v>
      </c>
      <c r="E24" s="290">
        <f>IFERROR(INDEX(Agency!$H$92:$H$99,MATCH($C24,Agency!$D$92:$D$99,0)),"")</f>
        <v>62.028989569200142</v>
      </c>
      <c r="F24" s="291">
        <f>IFERROR(INDEX(Agency!$I$92:$I$99,MATCH($C24,Agency!$D$92:$D$99,0)),"")</f>
        <v>0.39</v>
      </c>
      <c r="G24" s="292">
        <f>IFERROR(INDEX(Agency!$J$92:$J$99,MATCH($C24,Agency!$D$92:$D$99,0)),"")</f>
        <v>159.04869120307728</v>
      </c>
      <c r="H24" s="290">
        <f>IFERROR(INDEX(SelfEmployed!$E$29:$M$29,MATCH($C24,SelfEmployed!$E$4:$M$4,0)),"")</f>
        <v>60.78227263505886</v>
      </c>
      <c r="I24" s="291">
        <f>IFERROR(INDEX(SelfEmployed!$E$35:$M$35,MATCH($C24,SelfEmployed!$E$4:$M$4,0)),"")</f>
        <v>0.34</v>
      </c>
      <c r="J24" s="394">
        <f>IFERROR(INDEX(SelfEmployed!$E$37:$M$37,MATCH($C24,SelfEmployed!$E$4:$M$4,0)),"")</f>
        <v>178.77139010311427</v>
      </c>
    </row>
    <row r="25" spans="3:10" ht="15.75" x14ac:dyDescent="0.25">
      <c r="C25" s="293" t="str">
        <f>'Wage Assumptions'!$C$21</f>
        <v>Nutritionist</v>
      </c>
      <c r="D25" s="289">
        <v>122.64</v>
      </c>
      <c r="E25" s="290">
        <f>IFERROR(INDEX(Agency!$H$92:$H$99,MATCH($C25,Agency!$D$92:$D$99,0)),"")</f>
        <v>49.28832956920013</v>
      </c>
      <c r="F25" s="291">
        <f>IFERROR(INDEX(Agency!$I$92:$I$99,MATCH($C25,Agency!$D$92:$D$99,0)),"")</f>
        <v>0.39</v>
      </c>
      <c r="G25" s="292">
        <f>IFERROR(INDEX(Agency!$J$92:$J$99,MATCH($C25,Agency!$D$92:$D$99,0)),"")</f>
        <v>126.38033222871827</v>
      </c>
      <c r="H25" s="290">
        <f>IFERROR(INDEX(SelfEmployed!$E$29:$M$29,MATCH($C25,SelfEmployed!$E$4:$M$4,0)),"")</f>
        <v>47.277512635058855</v>
      </c>
      <c r="I25" s="291">
        <f>IFERROR(INDEX(SelfEmployed!$E$35:$M$35,MATCH($C25,SelfEmployed!$E$4:$M$4,0)),"")</f>
        <v>0.34</v>
      </c>
      <c r="J25" s="394">
        <f>IFERROR(INDEX(SelfEmployed!$E$37:$M$37,MATCH($C25,SelfEmployed!$E$4:$M$4,0)),"")</f>
        <v>139.0515077501731</v>
      </c>
    </row>
    <row r="26" spans="3:10" ht="16.5" thickBot="1" x14ac:dyDescent="0.3">
      <c r="C26" s="294" t="str">
        <f>'Wage Assumptions'!$C$22</f>
        <v>Interpreter / Translator</v>
      </c>
      <c r="D26" s="295">
        <v>63.04</v>
      </c>
      <c r="E26" s="296" t="str">
        <f>IFERROR(INDEX(Agency!$H$92:$H$99,MATCH($C26,Agency!$D$92:$D$99,0)),"")</f>
        <v/>
      </c>
      <c r="F26" s="297" t="str">
        <f>IFERROR(INDEX(Agency!$I$92:$I$99,MATCH($C26,Agency!$D$92:$D$99,0)),"")</f>
        <v/>
      </c>
      <c r="G26" s="298" t="str">
        <f>IFERROR(INDEX(Agency!$J$92:$J$99,MATCH($C26,Agency!$D$92:$D$99,0)),"")</f>
        <v/>
      </c>
      <c r="H26" s="296">
        <f>IFERROR(INDEX(SelfEmployed!$E$29:$M$29,MATCH($C26,SelfEmployed!$E$4:$M$4,0)),"")</f>
        <v>41.968662635058863</v>
      </c>
      <c r="I26" s="299">
        <f>IFERROR(INDEX(SelfEmployed!$E$35:$M$35,MATCH($C26,SelfEmployed!$E$4:$M$4,0)),"")</f>
        <v>0.47</v>
      </c>
      <c r="J26" s="395">
        <f>IFERROR(INDEX(SelfEmployed!$E$37:$M$37,MATCH($C26,SelfEmployed!$E$4:$M$4,0)),"")</f>
        <v>89.295026883103972</v>
      </c>
    </row>
    <row r="27" spans="3:10" ht="15.75" thickBot="1" x14ac:dyDescent="0.3"/>
    <row r="28" spans="3:10" s="122" customFormat="1" ht="16.5" thickBot="1" x14ac:dyDescent="0.3">
      <c r="E28" s="443" t="s">
        <v>117</v>
      </c>
      <c r="F28" s="444"/>
      <c r="G28" s="445"/>
      <c r="H28" s="443" t="s">
        <v>124</v>
      </c>
      <c r="I28" s="444"/>
      <c r="J28" s="445"/>
    </row>
    <row r="29" spans="3:10" s="65" customFormat="1" ht="45.75" thickBot="1" x14ac:dyDescent="0.3">
      <c r="C29" s="162" t="s">
        <v>125</v>
      </c>
      <c r="D29" s="163" t="s">
        <v>120</v>
      </c>
      <c r="E29" s="200" t="s">
        <v>121</v>
      </c>
      <c r="F29" s="164" t="s">
        <v>122</v>
      </c>
      <c r="G29" s="211" t="s">
        <v>123</v>
      </c>
      <c r="H29" s="200" t="s">
        <v>121</v>
      </c>
      <c r="I29" s="164" t="s">
        <v>122</v>
      </c>
      <c r="J29" s="211" t="s">
        <v>123</v>
      </c>
    </row>
    <row r="30" spans="3:10" ht="15.75" x14ac:dyDescent="0.25">
      <c r="C30" s="288" t="str">
        <f>'Wage Assumptions'!$C$14</f>
        <v>Audiologist</v>
      </c>
      <c r="D30" s="289">
        <v>53.51</v>
      </c>
      <c r="E30" s="290">
        <f>IFERROR(INDEX(Agency!$H$92:$H$99,MATCH($C30,Agency!$D$92:$D$99,0)),"")</f>
        <v>62.816839569200134</v>
      </c>
      <c r="F30" s="291">
        <f>IFERROR(INDEX(Agency!$K$92:$K$99,MATCH($C30,Agency!$D$92:$D$99,0)),"")</f>
        <v>0.39</v>
      </c>
      <c r="G30" s="292">
        <f>IFERROR(INDEX(Agency!$L$92:$L$99,MATCH($C30,Agency!$D$92:$D$99,0)),"")</f>
        <v>161.06881940820546</v>
      </c>
      <c r="H30" s="290">
        <f>IFERROR(INDEX(SelfEmployed!$E$29:$M$29,MATCH($C30,SelfEmployed!$E$4:$M$4,0)),"")</f>
        <v>61.617372635058857</v>
      </c>
      <c r="I30" s="291">
        <f>IFERROR(INDEX(SelfEmployed!$E$40:$M$40,MATCH($C30,SelfEmployed!$E$4:$M$4,0)),"")</f>
        <v>0.34</v>
      </c>
      <c r="J30" s="394">
        <f>IFERROR(INDEX(SelfEmployed!$E$42:$M$42,MATCH($C30,SelfEmployed!$E$4:$M$4,0)),"")</f>
        <v>181.22756657370252</v>
      </c>
    </row>
    <row r="31" spans="3:10" ht="15.75" x14ac:dyDescent="0.25">
      <c r="C31" s="293" t="str">
        <f>'Wage Assumptions'!$C$15</f>
        <v>Developmental Therapist</v>
      </c>
      <c r="D31" s="289">
        <v>52.96</v>
      </c>
      <c r="E31" s="290">
        <f>IFERROR(INDEX(Agency!$H$92:$H$99,MATCH($C31,Agency!$D$92:$D$99,0)),"")</f>
        <v>55.383344953815524</v>
      </c>
      <c r="F31" s="291">
        <f>IFERROR(INDEX(Agency!$K$92:$K$99,MATCH($C31,Agency!$D$92:$D$99,0)),"")</f>
        <v>0.39</v>
      </c>
      <c r="G31" s="292">
        <f>IFERROR(INDEX(Agency!$L$92:$L$99,MATCH($C31,Agency!$D$92:$D$99,0)),"")</f>
        <v>142.00857680465518</v>
      </c>
      <c r="H31" s="290">
        <f>IFERROR(INDEX(SelfEmployed!$E$29:$M$29,MATCH($C31,SelfEmployed!$E$4:$M$4,0)),"")</f>
        <v>53.738066481212705</v>
      </c>
      <c r="I31" s="291">
        <f>IFERROR(INDEX(SelfEmployed!$E$40:$M$40,MATCH($C31,SelfEmployed!$E$4:$M$4,0)),"")</f>
        <v>0.34</v>
      </c>
      <c r="J31" s="394">
        <f>IFERROR(INDEX(SelfEmployed!$E$42:$M$42,MATCH($C31,SelfEmployed!$E$4:$M$4,0)),"")</f>
        <v>158.05313670944912</v>
      </c>
    </row>
    <row r="32" spans="3:10" ht="15.75" x14ac:dyDescent="0.25">
      <c r="C32" s="293" t="str">
        <f>'Wage Assumptions'!$C$16</f>
        <v>Occupational Therapist</v>
      </c>
      <c r="D32" s="289">
        <v>67.84</v>
      </c>
      <c r="E32" s="290">
        <f>IFERROR(INDEX(Agency!$H$92:$H$99,MATCH($C32,Agency!$D$92:$D$99,0)),"")</f>
        <v>66.485969569200137</v>
      </c>
      <c r="F32" s="291">
        <f>IFERROR(INDEX(Agency!$K$92:$K$99,MATCH($C32,Agency!$D$92:$D$99,0)),"")</f>
        <v>0.39</v>
      </c>
      <c r="G32" s="292">
        <f>IFERROR(INDEX(Agency!$L$92:$L$99,MATCH($C32,Agency!$D$92:$D$99,0)),"")</f>
        <v>170.47684504923112</v>
      </c>
      <c r="H32" s="290">
        <f>IFERROR(INDEX(SelfEmployed!$E$29:$M$29,MATCH($C32,SelfEmployed!$E$4:$M$4,0)),"")</f>
        <v>65.506552635058853</v>
      </c>
      <c r="I32" s="291">
        <f>IFERROR(INDEX(SelfEmployed!$E$40:$M$40,MATCH($C32,SelfEmployed!$E$4:$M$4,0)),"")</f>
        <v>0.34</v>
      </c>
      <c r="J32" s="394">
        <f>IFERROR(INDEX(SelfEmployed!$E$42:$M$42,MATCH($C32,SelfEmployed!$E$4:$M$4,0)),"")</f>
        <v>192.66633127958485</v>
      </c>
    </row>
    <row r="33" spans="3:10" ht="15.75" x14ac:dyDescent="0.25">
      <c r="C33" s="293" t="str">
        <f>'Wage Assumptions'!$C$17</f>
        <v>Physical Therapist</v>
      </c>
      <c r="D33" s="289">
        <v>67.84</v>
      </c>
      <c r="E33" s="290">
        <f>IFERROR(INDEX(Agency!$H$92:$H$99,MATCH($C33,Agency!$D$92:$D$99,0)),"")</f>
        <v>71.078009569200134</v>
      </c>
      <c r="F33" s="291">
        <f>IFERROR(INDEX(Agency!$K$92:$K$99,MATCH($C33,Agency!$D$92:$D$99,0)),"")</f>
        <v>0.39</v>
      </c>
      <c r="G33" s="292">
        <f>IFERROR(INDEX(Agency!$L$92:$L$99,MATCH($C33,Agency!$D$92:$D$99,0)),"")</f>
        <v>182.25130658769265</v>
      </c>
      <c r="H33" s="290">
        <f>IFERROR(INDEX(SelfEmployed!$E$29:$M$29,MATCH($C33,SelfEmployed!$E$4:$M$4,0)),"")</f>
        <v>70.373992635058855</v>
      </c>
      <c r="I33" s="291">
        <f>IFERROR(INDEX(SelfEmployed!$E$40:$M$40,MATCH($C33,SelfEmployed!$E$4:$M$4,0)),"")</f>
        <v>0.34</v>
      </c>
      <c r="J33" s="394">
        <f>IFERROR(INDEX(SelfEmployed!$E$42:$M$42,MATCH($C33,SelfEmployed!$E$4:$M$4,0)),"")</f>
        <v>206.98233127958486</v>
      </c>
    </row>
    <row r="34" spans="3:10" ht="15.75" x14ac:dyDescent="0.25">
      <c r="C34" s="293" t="str">
        <f>'Wage Assumptions'!$C$18</f>
        <v>Psychologist</v>
      </c>
      <c r="D34" s="289">
        <v>81.12</v>
      </c>
      <c r="E34" s="290">
        <f>IFERROR(INDEX(Agency!$H$92:$H$99,MATCH($C34,Agency!$D$92:$D$99,0)),"")</f>
        <v>74.679609569200139</v>
      </c>
      <c r="F34" s="291">
        <f>IFERROR(INDEX(Agency!$K$92:$K$99,MATCH($C34,Agency!$D$92:$D$99,0)),"")</f>
        <v>0.39</v>
      </c>
      <c r="G34" s="292">
        <f>IFERROR(INDEX(Agency!$L$92:$L$99,MATCH($C34,Agency!$D$92:$D$99,0)),"")</f>
        <v>191.48617838256445</v>
      </c>
      <c r="H34" s="290">
        <f>IFERROR(INDEX(SelfEmployed!$E$29:$M$29,MATCH($C34,SelfEmployed!$E$4:$M$4,0)),"")</f>
        <v>74.191592635058868</v>
      </c>
      <c r="I34" s="291">
        <f>IFERROR(INDEX(SelfEmployed!$E$40:$M$40,MATCH($C34,SelfEmployed!$E$4:$M$4,0)),"")</f>
        <v>0.34</v>
      </c>
      <c r="J34" s="394">
        <f>IFERROR(INDEX(SelfEmployed!$E$42:$M$42,MATCH($C34,SelfEmployed!$E$4:$M$4,0)),"")</f>
        <v>218.21056657370255</v>
      </c>
    </row>
    <row r="35" spans="3:10" ht="15.75" x14ac:dyDescent="0.25">
      <c r="C35" s="293" t="str">
        <f>'Wage Assumptions'!$C$19</f>
        <v>Social Worker</v>
      </c>
      <c r="D35" s="289">
        <v>54.12</v>
      </c>
      <c r="E35" s="290">
        <f>IFERROR(INDEX(Agency!$H$92:$H$99,MATCH($C35,Agency!$D$92:$D$99,0)),"")</f>
        <v>48.860639569200131</v>
      </c>
      <c r="F35" s="291">
        <f>IFERROR(INDEX(Agency!$K$92:$K$99,MATCH($C35,Agency!$D$92:$D$99,0)),"")</f>
        <v>0.39</v>
      </c>
      <c r="G35" s="292">
        <f>IFERROR(INDEX(Agency!$L$92:$L$99,MATCH($C35,Agency!$D$92:$D$99,0)),"")</f>
        <v>125.28369120307725</v>
      </c>
      <c r="H35" s="290">
        <f>IFERROR(INDEX(SelfEmployed!$E$29:$M$29,MATCH($C35,SelfEmployed!$E$4:$M$4,0)),"")</f>
        <v>46.824172635058858</v>
      </c>
      <c r="I35" s="291">
        <f>IFERROR(INDEX(SelfEmployed!$E$40:$M$40,MATCH($C35,SelfEmployed!$E$4:$M$4,0)),"")</f>
        <v>0.34</v>
      </c>
      <c r="J35" s="394">
        <f>IFERROR(INDEX(SelfEmployed!$E$42:$M$42,MATCH($C35,SelfEmployed!$E$4:$M$4,0)),"")</f>
        <v>137.71815480899664</v>
      </c>
    </row>
    <row r="36" spans="3:10" ht="15.75" x14ac:dyDescent="0.25">
      <c r="C36" s="293" t="str">
        <f>'Wage Assumptions'!$C$20</f>
        <v>Speech Language Pathologist</v>
      </c>
      <c r="D36" s="289">
        <v>67.84</v>
      </c>
      <c r="E36" s="290">
        <f>IFERROR(INDEX(Agency!$H$92:$H$99,MATCH($C36,Agency!$D$92:$D$99,0)),"")</f>
        <v>62.028989569200142</v>
      </c>
      <c r="F36" s="291">
        <f>IFERROR(INDEX(Agency!$K$92:$K$99,MATCH($C36,Agency!$D$92:$D$99,0)),"")</f>
        <v>0.39</v>
      </c>
      <c r="G36" s="292">
        <f>IFERROR(INDEX(Agency!$L$92:$L$99,MATCH($C36,Agency!$D$92:$D$99,0)),"")</f>
        <v>159.04869120307728</v>
      </c>
      <c r="H36" s="290">
        <f>IFERROR(INDEX(SelfEmployed!$E$29:$M$29,MATCH($C36,SelfEmployed!$E$4:$M$4,0)),"")</f>
        <v>60.78227263505886</v>
      </c>
      <c r="I36" s="291">
        <f>IFERROR(INDEX(SelfEmployed!$E$40:$M$40,MATCH($C36,SelfEmployed!$E$4:$M$4,0)),"")</f>
        <v>0.34</v>
      </c>
      <c r="J36" s="394">
        <f>IFERROR(INDEX(SelfEmployed!$E$42:$M$42,MATCH($C36,SelfEmployed!$E$4:$M$4,0)),"")</f>
        <v>178.77139010311427</v>
      </c>
    </row>
    <row r="37" spans="3:10" ht="15.75" x14ac:dyDescent="0.25">
      <c r="C37" s="293" t="str">
        <f>'Wage Assumptions'!$C$21</f>
        <v>Nutritionist</v>
      </c>
      <c r="D37" s="289">
        <v>99.4</v>
      </c>
      <c r="E37" s="290">
        <f>IFERROR(INDEX(Agency!$H$92:$H$99,MATCH($C37,Agency!$D$92:$D$99,0)),"")</f>
        <v>49.28832956920013</v>
      </c>
      <c r="F37" s="291">
        <f>IFERROR(INDEX(Agency!$K$92:$K$99,MATCH($C37,Agency!$D$92:$D$99,0)),"")</f>
        <v>0.39</v>
      </c>
      <c r="G37" s="292">
        <f>IFERROR(INDEX(Agency!$L$92:$L$99,MATCH($C37,Agency!$D$92:$D$99,0)),"")</f>
        <v>126.38033222871827</v>
      </c>
      <c r="H37" s="290">
        <f>IFERROR(INDEX(SelfEmployed!$E$29:$M$29,MATCH($C37,SelfEmployed!$E$4:$M$4,0)),"")</f>
        <v>47.277512635058855</v>
      </c>
      <c r="I37" s="291">
        <f>IFERROR(INDEX(SelfEmployed!$E$40:$M$40,MATCH($C37,SelfEmployed!$E$4:$M$4,0)),"")</f>
        <v>0.34</v>
      </c>
      <c r="J37" s="394">
        <f>IFERROR(INDEX(SelfEmployed!$E$42:$M$42,MATCH($C37,SelfEmployed!$E$4:$M$4,0)),"")</f>
        <v>139.0515077501731</v>
      </c>
    </row>
    <row r="38" spans="3:10" ht="16.5" thickBot="1" x14ac:dyDescent="0.3">
      <c r="C38" s="294" t="str">
        <f>'Wage Assumptions'!$C$22</f>
        <v>Interpreter / Translator</v>
      </c>
      <c r="D38" s="295">
        <v>50</v>
      </c>
      <c r="E38" s="296" t="str">
        <f>IFERROR(INDEX(Agency!$H$92:$H$99,MATCH($C38,Agency!$D$92:$D$99,0)),"")</f>
        <v/>
      </c>
      <c r="F38" s="297" t="str">
        <f>IFERROR(INDEX(Agency!$K$92:$K$99,MATCH($C38,Agency!$D$92:$D$99,0)),"")</f>
        <v/>
      </c>
      <c r="G38" s="298" t="str">
        <f>IFERROR(INDEX(Agency!$L$92:$L$99,MATCH($C38,Agency!$D$92:$D$99,0)),"")</f>
        <v/>
      </c>
      <c r="H38" s="296">
        <f>IFERROR(INDEX(SelfEmployed!$E$29:$M$29,MATCH($C38,SelfEmployed!$E$4:$M$4,0)),"")</f>
        <v>41.968662635058863</v>
      </c>
      <c r="I38" s="299">
        <f>IFERROR(INDEX(SelfEmployed!$E$40:$M$40,MATCH($C38,SelfEmployed!$E$4:$M$4,0)),"")</f>
        <v>0.47</v>
      </c>
      <c r="J38" s="395">
        <f>IFERROR(INDEX(SelfEmployed!$E$42:$M$42,MATCH($C38,SelfEmployed!$E$4:$M$4,0)),"")</f>
        <v>89.295026883103972</v>
      </c>
    </row>
    <row r="39" spans="3:10" ht="15.75" thickBot="1" x14ac:dyDescent="0.3"/>
    <row r="40" spans="3:10" s="122" customFormat="1" ht="16.5" thickBot="1" x14ac:dyDescent="0.3">
      <c r="E40" s="443" t="s">
        <v>117</v>
      </c>
      <c r="F40" s="444"/>
      <c r="G40" s="445"/>
      <c r="H40" s="443" t="s">
        <v>124</v>
      </c>
      <c r="I40" s="444"/>
      <c r="J40" s="445"/>
    </row>
    <row r="41" spans="3:10" s="65" customFormat="1" ht="45.75" thickBot="1" x14ac:dyDescent="0.3">
      <c r="C41" s="162" t="s">
        <v>126</v>
      </c>
      <c r="D41" s="163" t="s">
        <v>120</v>
      </c>
      <c r="E41" s="200" t="s">
        <v>121</v>
      </c>
      <c r="F41" s="164" t="s">
        <v>122</v>
      </c>
      <c r="G41" s="211" t="s">
        <v>123</v>
      </c>
      <c r="H41" s="200" t="s">
        <v>121</v>
      </c>
      <c r="I41" s="164" t="s">
        <v>122</v>
      </c>
      <c r="J41" s="211" t="s">
        <v>123</v>
      </c>
    </row>
    <row r="42" spans="3:10" ht="15.75" x14ac:dyDescent="0.25">
      <c r="C42" s="288" t="str">
        <f>'Wage Assumptions'!$C$14</f>
        <v>Audiologist</v>
      </c>
      <c r="D42" s="289">
        <v>53.51</v>
      </c>
      <c r="E42" s="290">
        <f>IFERROR(INDEX(Agency!$H$92:$H$99,MATCH($C42,Agency!$D$92:$D$99,0)),"")</f>
        <v>62.816839569200134</v>
      </c>
      <c r="F42" s="291">
        <f>IFERROR(INDEX(Agency!$M$92:$M$99,MATCH($C42,Agency!$D$92:$D$99,0)),"")</f>
        <v>0.39</v>
      </c>
      <c r="G42" s="292">
        <f>IFERROR(INDEX(Agency!$N$92:$N$99,MATCH($C42,Agency!$D$92:$D$99,0)),"")</f>
        <v>161.06881940820546</v>
      </c>
      <c r="H42" s="290">
        <f>IFERROR(INDEX(SelfEmployed!$E$29:$M$29,MATCH($C42,SelfEmployed!$E$4:$M$4,0)),"")</f>
        <v>61.617372635058857</v>
      </c>
      <c r="I42" s="291">
        <f>IFERROR(INDEX(SelfEmployed!$E$45:$M$45,MATCH($C42,SelfEmployed!$E$4:$M$4,0)),"")</f>
        <v>0.34</v>
      </c>
      <c r="J42" s="394">
        <f>IFERROR(INDEX(SelfEmployed!$E$47:$M$47,MATCH($C42,SelfEmployed!$E$4:$M$4,0)),"")</f>
        <v>181.22756657370252</v>
      </c>
    </row>
    <row r="43" spans="3:10" ht="15.75" x14ac:dyDescent="0.25">
      <c r="C43" s="293" t="str">
        <f>'Wage Assumptions'!$C$15</f>
        <v>Developmental Therapist</v>
      </c>
      <c r="D43" s="289">
        <v>66.8</v>
      </c>
      <c r="E43" s="290">
        <f>IFERROR(INDEX(Agency!$H$92:$H$99,MATCH($C43,Agency!$D$92:$D$99,0)),"")</f>
        <v>55.383344953815524</v>
      </c>
      <c r="F43" s="291">
        <f>IFERROR(INDEX(Agency!$M$92:$M$99,MATCH($C43,Agency!$D$92:$D$99,0)),"")</f>
        <v>0.39</v>
      </c>
      <c r="G43" s="292">
        <f>IFERROR(INDEX(Agency!$N$92:$N$99,MATCH($C43,Agency!$D$92:$D$99,0)),"")</f>
        <v>142.00857680465518</v>
      </c>
      <c r="H43" s="290">
        <f>IFERROR(INDEX(SelfEmployed!$E$29:$M$29,MATCH($C43,SelfEmployed!$E$4:$M$4,0)),"")</f>
        <v>53.738066481212705</v>
      </c>
      <c r="I43" s="291">
        <f>IFERROR(INDEX(SelfEmployed!$E$45:$M$45,MATCH($C43,SelfEmployed!$E$4:$M$4,0)),"")</f>
        <v>0.34</v>
      </c>
      <c r="J43" s="394">
        <f>IFERROR(INDEX(SelfEmployed!$E$47:$M$47,MATCH($C43,SelfEmployed!$E$4:$M$4,0)),"")</f>
        <v>158.05313670944912</v>
      </c>
    </row>
    <row r="44" spans="3:10" ht="15.75" x14ac:dyDescent="0.25">
      <c r="C44" s="293" t="str">
        <f>'Wage Assumptions'!$C$16</f>
        <v>Occupational Therapist</v>
      </c>
      <c r="D44" s="289">
        <v>84.64</v>
      </c>
      <c r="E44" s="290">
        <f>IFERROR(INDEX(Agency!$H$92:$H$99,MATCH($C44,Agency!$D$92:$D$99,0)),"")</f>
        <v>66.485969569200137</v>
      </c>
      <c r="F44" s="291">
        <f>IFERROR(INDEX(Agency!$M$92:$M$99,MATCH($C44,Agency!$D$92:$D$99,0)),"")</f>
        <v>0.39</v>
      </c>
      <c r="G44" s="292">
        <f>IFERROR(INDEX(Agency!$N$92:$N$99,MATCH($C44,Agency!$D$92:$D$99,0)),"")</f>
        <v>170.47684504923112</v>
      </c>
      <c r="H44" s="290">
        <f>IFERROR(INDEX(SelfEmployed!$E$29:$M$29,MATCH($C44,SelfEmployed!$E$4:$M$4,0)),"")</f>
        <v>65.506552635058853</v>
      </c>
      <c r="I44" s="291">
        <f>IFERROR(INDEX(SelfEmployed!$E$45:$M$45,MATCH($C44,SelfEmployed!$E$4:$M$4,0)),"")</f>
        <v>0.34</v>
      </c>
      <c r="J44" s="394">
        <f>IFERROR(INDEX(SelfEmployed!$E$47:$M$47,MATCH($C44,SelfEmployed!$E$4:$M$4,0)),"")</f>
        <v>192.66633127958485</v>
      </c>
    </row>
    <row r="45" spans="3:10" ht="15.75" x14ac:dyDescent="0.25">
      <c r="C45" s="293" t="str">
        <f>'Wage Assumptions'!$C$17</f>
        <v>Physical Therapist</v>
      </c>
      <c r="D45" s="289">
        <v>84.64</v>
      </c>
      <c r="E45" s="290">
        <f>IFERROR(INDEX(Agency!$H$92:$H$99,MATCH($C45,Agency!$D$92:$D$99,0)),"")</f>
        <v>71.078009569200134</v>
      </c>
      <c r="F45" s="291">
        <f>IFERROR(INDEX(Agency!$M$92:$M$99,MATCH($C45,Agency!$D$92:$D$99,0)),"")</f>
        <v>0.39</v>
      </c>
      <c r="G45" s="292">
        <f>IFERROR(INDEX(Agency!$N$92:$N$99,MATCH($C45,Agency!$D$92:$D$99,0)),"")</f>
        <v>182.25130658769265</v>
      </c>
      <c r="H45" s="290">
        <f>IFERROR(INDEX(SelfEmployed!$E$29:$M$29,MATCH($C45,SelfEmployed!$E$4:$M$4,0)),"")</f>
        <v>70.373992635058855</v>
      </c>
      <c r="I45" s="291">
        <f>IFERROR(INDEX(SelfEmployed!$E$45:$M$45,MATCH($C45,SelfEmployed!$E$4:$M$4,0)),"")</f>
        <v>0.34</v>
      </c>
      <c r="J45" s="394">
        <f>IFERROR(INDEX(SelfEmployed!$E$47:$M$47,MATCH($C45,SelfEmployed!$E$4:$M$4,0)),"")</f>
        <v>206.98233127958486</v>
      </c>
    </row>
    <row r="46" spans="3:10" ht="15.75" x14ac:dyDescent="0.25">
      <c r="C46" s="293" t="str">
        <f>'Wage Assumptions'!$C$18</f>
        <v>Psychologist</v>
      </c>
      <c r="D46" s="289">
        <v>100.72</v>
      </c>
      <c r="E46" s="290">
        <f>IFERROR(INDEX(Agency!$H$92:$H$99,MATCH($C46,Agency!$D$92:$D$99,0)),"")</f>
        <v>74.679609569200139</v>
      </c>
      <c r="F46" s="291">
        <f>IFERROR(INDEX(Agency!$M$92:$M$99,MATCH($C46,Agency!$D$92:$D$99,0)),"")</f>
        <v>0.39</v>
      </c>
      <c r="G46" s="292">
        <f>IFERROR(INDEX(Agency!$N$92:$N$99,MATCH($C46,Agency!$D$92:$D$99,0)),"")</f>
        <v>191.48617838256445</v>
      </c>
      <c r="H46" s="290">
        <f>IFERROR(INDEX(SelfEmployed!$E$29:$M$29,MATCH($C46,SelfEmployed!$E$4:$M$4,0)),"")</f>
        <v>74.191592635058868</v>
      </c>
      <c r="I46" s="291">
        <f>IFERROR(INDEX(SelfEmployed!$E$45:$M$45,MATCH($C46,SelfEmployed!$E$4:$M$4,0)),"")</f>
        <v>0.34</v>
      </c>
      <c r="J46" s="394">
        <f>IFERROR(INDEX(SelfEmployed!$E$47:$M$47,MATCH($C46,SelfEmployed!$E$4:$M$4,0)),"")</f>
        <v>218.21056657370255</v>
      </c>
    </row>
    <row r="47" spans="3:10" ht="15.75" x14ac:dyDescent="0.25">
      <c r="C47" s="293" t="str">
        <f>'Wage Assumptions'!$C$19</f>
        <v>Social Worker</v>
      </c>
      <c r="D47" s="289">
        <v>65.12</v>
      </c>
      <c r="E47" s="290">
        <f>IFERROR(INDEX(Agency!$H$92:$H$99,MATCH($C47,Agency!$D$92:$D$99,0)),"")</f>
        <v>48.860639569200131</v>
      </c>
      <c r="F47" s="291">
        <f>IFERROR(INDEX(Agency!$M$92:$M$99,MATCH($C47,Agency!$D$92:$D$99,0)),"")</f>
        <v>0.39</v>
      </c>
      <c r="G47" s="292">
        <f>IFERROR(INDEX(Agency!$N$92:$N$99,MATCH($C47,Agency!$D$92:$D$99,0)),"")</f>
        <v>125.28369120307725</v>
      </c>
      <c r="H47" s="290">
        <f>IFERROR(INDEX(SelfEmployed!$E$29:$M$29,MATCH($C47,SelfEmployed!$E$4:$M$4,0)),"")</f>
        <v>46.824172635058858</v>
      </c>
      <c r="I47" s="291">
        <f>IFERROR(INDEX(SelfEmployed!$E$45:$M$45,MATCH($C47,SelfEmployed!$E$4:$M$4,0)),"")</f>
        <v>0.34</v>
      </c>
      <c r="J47" s="394">
        <f>IFERROR(INDEX(SelfEmployed!$E$47:$M$47,MATCH($C47,SelfEmployed!$E$4:$M$4,0)),"")</f>
        <v>137.71815480899664</v>
      </c>
    </row>
    <row r="48" spans="3:10" ht="15.75" x14ac:dyDescent="0.25">
      <c r="C48" s="293" t="str">
        <f>'Wage Assumptions'!$C$20</f>
        <v>Speech Language Pathologist</v>
      </c>
      <c r="D48" s="289">
        <v>84.64</v>
      </c>
      <c r="E48" s="290">
        <f>IFERROR(INDEX(Agency!$H$92:$H$99,MATCH($C48,Agency!$D$92:$D$99,0)),"")</f>
        <v>62.028989569200142</v>
      </c>
      <c r="F48" s="291">
        <f>IFERROR(INDEX(Agency!$M$92:$M$99,MATCH($C48,Agency!$D$92:$D$99,0)),"")</f>
        <v>0.39</v>
      </c>
      <c r="G48" s="292">
        <f>IFERROR(INDEX(Agency!$N$92:$N$99,MATCH($C48,Agency!$D$92:$D$99,0)),"")</f>
        <v>159.04869120307728</v>
      </c>
      <c r="H48" s="290">
        <f>IFERROR(INDEX(SelfEmployed!$E$29:$M$29,MATCH($C48,SelfEmployed!$E$4:$M$4,0)),"")</f>
        <v>60.78227263505886</v>
      </c>
      <c r="I48" s="291">
        <f>IFERROR(INDEX(SelfEmployed!$E$45:$M$45,MATCH($C48,SelfEmployed!$E$4:$M$4,0)),"")</f>
        <v>0.34</v>
      </c>
      <c r="J48" s="394">
        <f>IFERROR(INDEX(SelfEmployed!$E$47:$M$47,MATCH($C48,SelfEmployed!$E$4:$M$4,0)),"")</f>
        <v>178.77139010311427</v>
      </c>
    </row>
    <row r="49" spans="3:10" ht="15.75" x14ac:dyDescent="0.25">
      <c r="C49" s="293" t="str">
        <f>'Wage Assumptions'!$C$21</f>
        <v>Nutritionist</v>
      </c>
      <c r="D49" s="289">
        <v>122.64</v>
      </c>
      <c r="E49" s="290">
        <f>IFERROR(INDEX(Agency!$H$92:$H$99,MATCH($C49,Agency!$D$92:$D$99,0)),"")</f>
        <v>49.28832956920013</v>
      </c>
      <c r="F49" s="291">
        <f>IFERROR(INDEX(Agency!$M$92:$M$99,MATCH($C49,Agency!$D$92:$D$99,0)),"")</f>
        <v>0.39</v>
      </c>
      <c r="G49" s="292">
        <f>IFERROR(INDEX(Agency!$N$92:$N$99,MATCH($C49,Agency!$D$92:$D$99,0)),"")</f>
        <v>126.38033222871827</v>
      </c>
      <c r="H49" s="290">
        <f>IFERROR(INDEX(SelfEmployed!$E$29:$M$29,MATCH($C49,SelfEmployed!$E$4:$M$4,0)),"")</f>
        <v>47.277512635058855</v>
      </c>
      <c r="I49" s="291">
        <f>IFERROR(INDEX(SelfEmployed!$E$45:$M$45,MATCH($C49,SelfEmployed!$E$4:$M$4,0)),"")</f>
        <v>0.34</v>
      </c>
      <c r="J49" s="394">
        <f>IFERROR(INDEX(SelfEmployed!$E$47:$M$47,MATCH($C49,SelfEmployed!$E$4:$M$4,0)),"")</f>
        <v>139.0515077501731</v>
      </c>
    </row>
    <row r="50" spans="3:10" ht="16.5" thickBot="1" x14ac:dyDescent="0.3">
      <c r="C50" s="294" t="str">
        <f>'Wage Assumptions'!$C$22</f>
        <v>Interpreter / Translator</v>
      </c>
      <c r="D50" s="295">
        <v>63.04</v>
      </c>
      <c r="E50" s="296" t="str">
        <f>IFERROR(INDEX(Agency!$H$92:$H$99,MATCH($C50,Agency!$D$92:$D$99,0)),"")</f>
        <v/>
      </c>
      <c r="F50" s="297" t="str">
        <f>IFERROR(INDEX(Agency!$M$92:$M$99,MATCH($C50,Agency!$D$92:$D$99,0)),"")</f>
        <v/>
      </c>
      <c r="G50" s="298" t="str">
        <f>IFERROR(INDEX(Agency!$N$92:$N$99,MATCH($C50,Agency!$D$92:$D$99,0)),"")</f>
        <v/>
      </c>
      <c r="H50" s="296">
        <f>IFERROR(INDEX(SelfEmployed!$E$29:$M$29,MATCH($C50,SelfEmployed!$E$4:$M$4,0)),"")</f>
        <v>41.968662635058863</v>
      </c>
      <c r="I50" s="299">
        <f>IFERROR(INDEX(SelfEmployed!$E$45:$M$45,MATCH($C50,SelfEmployed!$E$4:$M$4,0)),"")</f>
        <v>0.47</v>
      </c>
      <c r="J50" s="395">
        <f>IFERROR(INDEX(SelfEmployed!$E$47:$M$47,MATCH($C50,SelfEmployed!$E$4:$M$4,0)),"")</f>
        <v>89.295026883103972</v>
      </c>
    </row>
  </sheetData>
  <sheetProtection sheet="1"/>
  <mergeCells count="6">
    <mergeCell ref="E16:G16"/>
    <mergeCell ref="H16:J16"/>
    <mergeCell ref="E28:G28"/>
    <mergeCell ref="H28:J28"/>
    <mergeCell ref="E40:G40"/>
    <mergeCell ref="H40:J4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28D06-6F1B-4BBE-A50F-66CEEF3C6DAA}">
  <sheetPr>
    <tabColor theme="7" tint="0.59999389629810485"/>
  </sheetPr>
  <dimension ref="B1:L140"/>
  <sheetViews>
    <sheetView showGridLines="0" zoomScale="95" zoomScaleNormal="115" workbookViewId="0">
      <pane ySplit="3" topLeftCell="A4" activePane="bottomLeft" state="frozen"/>
      <selection pane="bottomLeft" activeCell="H26" sqref="H26"/>
    </sheetView>
  </sheetViews>
  <sheetFormatPr defaultColWidth="15.7109375" defaultRowHeight="15" outlineLevelRow="1" x14ac:dyDescent="0.25"/>
  <cols>
    <col min="1" max="2" width="2.5703125" customWidth="1"/>
    <col min="3" max="3" width="45.140625" customWidth="1"/>
    <col min="4" max="8" width="15.7109375" style="26"/>
    <col min="9" max="9" width="15.7109375" style="16"/>
  </cols>
  <sheetData>
    <row r="1" spans="2:12" ht="15.75" x14ac:dyDescent="0.25">
      <c r="B1" s="6" t="s">
        <v>25</v>
      </c>
    </row>
    <row r="2" spans="2:12" ht="15.75" x14ac:dyDescent="0.25">
      <c r="B2" s="7" t="s">
        <v>127</v>
      </c>
    </row>
    <row r="3" spans="2:12" ht="15.75" x14ac:dyDescent="0.25">
      <c r="B3" s="8" t="s">
        <v>27</v>
      </c>
    </row>
    <row r="5" spans="2:12" s="10" customFormat="1" x14ac:dyDescent="0.25">
      <c r="B5" s="10" t="s">
        <v>128</v>
      </c>
      <c r="D5" s="29"/>
      <c r="E5" s="29"/>
      <c r="F5" s="29"/>
      <c r="G5" s="29"/>
      <c r="H5" s="29"/>
      <c r="I5" s="30"/>
    </row>
    <row r="6" spans="2:12" ht="15.75" thickBot="1" x14ac:dyDescent="0.3">
      <c r="I6" s="26"/>
      <c r="J6" s="26"/>
      <c r="K6" s="16"/>
    </row>
    <row r="7" spans="2:12" ht="15.75" thickBot="1" x14ac:dyDescent="0.3">
      <c r="C7" s="132" t="s">
        <v>129</v>
      </c>
      <c r="D7" s="131"/>
      <c r="E7" s="130"/>
      <c r="I7" s="26"/>
      <c r="J7" s="26"/>
      <c r="K7" s="16"/>
    </row>
    <row r="8" spans="2:12" x14ac:dyDescent="0.25">
      <c r="C8" s="428" t="s">
        <v>130</v>
      </c>
      <c r="D8" s="150" t="s">
        <v>131</v>
      </c>
      <c r="E8" s="129"/>
      <c r="I8" s="26"/>
      <c r="J8" s="26"/>
      <c r="K8" s="16"/>
    </row>
    <row r="9" spans="2:12" x14ac:dyDescent="0.25">
      <c r="C9" s="429" t="s">
        <v>132</v>
      </c>
      <c r="D9" s="135" t="s">
        <v>133</v>
      </c>
      <c r="E9" s="151"/>
      <c r="I9" s="26"/>
      <c r="J9" s="26"/>
      <c r="K9" s="16"/>
    </row>
    <row r="10" spans="2:12" ht="15.75" thickBot="1" x14ac:dyDescent="0.3">
      <c r="C10" s="430" t="s">
        <v>134</v>
      </c>
      <c r="D10" s="152"/>
      <c r="E10" s="153"/>
      <c r="I10" s="26"/>
      <c r="J10" s="26"/>
      <c r="K10" s="16"/>
    </row>
    <row r="11" spans="2:12" x14ac:dyDescent="0.25">
      <c r="I11" s="26"/>
      <c r="J11" s="26"/>
      <c r="K11" s="16"/>
    </row>
    <row r="12" spans="2:12" ht="15" customHeight="1" x14ac:dyDescent="0.25">
      <c r="D12"/>
      <c r="E12"/>
      <c r="F12"/>
      <c r="G12"/>
      <c r="H12"/>
      <c r="I12" s="26"/>
    </row>
    <row r="13" spans="2:12" ht="45" x14ac:dyDescent="0.25">
      <c r="C13" s="33" t="s">
        <v>135</v>
      </c>
      <c r="D13" s="320" t="s">
        <v>130</v>
      </c>
      <c r="E13" s="320" t="s">
        <v>136</v>
      </c>
      <c r="F13" s="320" t="s">
        <v>137</v>
      </c>
      <c r="G13" s="320" t="s">
        <v>138</v>
      </c>
      <c r="H13"/>
      <c r="I13" s="256" t="s">
        <v>139</v>
      </c>
      <c r="J13" s="256" t="s">
        <v>140</v>
      </c>
      <c r="K13" s="257" t="s">
        <v>141</v>
      </c>
      <c r="L13" s="257" t="s">
        <v>138</v>
      </c>
    </row>
    <row r="14" spans="2:12" x14ac:dyDescent="0.25">
      <c r="C14" s="20" t="s">
        <v>142</v>
      </c>
      <c r="D14" s="86">
        <f>$D$81</f>
        <v>42.97</v>
      </c>
      <c r="E14" s="36">
        <f>$E$72</f>
        <v>41.944230769230771</v>
      </c>
      <c r="F14" s="36">
        <f t="shared" ref="F14:F22" si="0">INDEX($C$75:$G$77, MATCH($C$9, $C$75:$C$77, 0), MATCH($C$10, $C$74:$G$74, 0))</f>
        <v>39.630000000000003</v>
      </c>
      <c r="G14" s="431">
        <f t="shared" ref="G14:G22" si="1">MAX(D14,E14)</f>
        <v>42.97</v>
      </c>
      <c r="H14"/>
      <c r="I14" s="241">
        <f t="shared" ref="I14:I22" si="2">D14*2080</f>
        <v>89377.599999999991</v>
      </c>
      <c r="J14" s="241">
        <f t="shared" ref="J14:J22" si="3">E14*2080</f>
        <v>87244</v>
      </c>
      <c r="K14" s="241">
        <f t="shared" ref="K14:K22" si="4">F14*2080</f>
        <v>82430.400000000009</v>
      </c>
      <c r="L14" s="241">
        <f t="shared" ref="L14:L22" si="5">G14*2080</f>
        <v>89377.599999999991</v>
      </c>
    </row>
    <row r="15" spans="2:12" x14ac:dyDescent="0.25">
      <c r="C15" s="20" t="s">
        <v>143</v>
      </c>
      <c r="D15" s="86">
        <f>$D$83</f>
        <v>36.365384615384613</v>
      </c>
      <c r="E15" s="36">
        <f>E71</f>
        <v>32.928846153846152</v>
      </c>
      <c r="F15" s="36">
        <f t="shared" si="0"/>
        <v>39.630000000000003</v>
      </c>
      <c r="G15" s="431">
        <f t="shared" si="1"/>
        <v>36.365384615384613</v>
      </c>
      <c r="H15"/>
      <c r="I15" s="241">
        <f t="shared" si="2"/>
        <v>75640</v>
      </c>
      <c r="J15" s="241">
        <f t="shared" si="3"/>
        <v>68492</v>
      </c>
      <c r="K15" s="241">
        <f t="shared" si="4"/>
        <v>82430.400000000009</v>
      </c>
      <c r="L15" s="241">
        <f t="shared" si="5"/>
        <v>75640</v>
      </c>
    </row>
    <row r="16" spans="2:12" x14ac:dyDescent="0.25">
      <c r="C16" s="20" t="s">
        <v>144</v>
      </c>
      <c r="D16" s="86">
        <f>$D$84</f>
        <v>46.23</v>
      </c>
      <c r="E16" s="36">
        <f t="shared" ref="E16:E21" si="6">$E$72</f>
        <v>41.944230769230771</v>
      </c>
      <c r="F16" s="36">
        <f t="shared" si="0"/>
        <v>39.630000000000003</v>
      </c>
      <c r="G16" s="431">
        <f t="shared" si="1"/>
        <v>46.23</v>
      </c>
      <c r="H16"/>
      <c r="I16" s="241">
        <f>D16*2080</f>
        <v>96158.399999999994</v>
      </c>
      <c r="J16" s="241">
        <f t="shared" si="3"/>
        <v>87244</v>
      </c>
      <c r="K16" s="241">
        <f t="shared" si="4"/>
        <v>82430.400000000009</v>
      </c>
      <c r="L16" s="241">
        <f t="shared" si="5"/>
        <v>96158.399999999994</v>
      </c>
    </row>
    <row r="17" spans="3:12" x14ac:dyDescent="0.25">
      <c r="C17" s="20" t="s">
        <v>145</v>
      </c>
      <c r="D17" s="86">
        <f>$D$85</f>
        <v>50.31</v>
      </c>
      <c r="E17" s="36">
        <f t="shared" si="6"/>
        <v>41.944230769230771</v>
      </c>
      <c r="F17" s="36">
        <f t="shared" si="0"/>
        <v>39.630000000000003</v>
      </c>
      <c r="G17" s="431">
        <f t="shared" si="1"/>
        <v>50.31</v>
      </c>
      <c r="H17"/>
      <c r="I17" s="241">
        <f t="shared" si="2"/>
        <v>104644.8</v>
      </c>
      <c r="J17" s="241">
        <f t="shared" si="3"/>
        <v>87244</v>
      </c>
      <c r="K17" s="241">
        <f t="shared" si="4"/>
        <v>82430.400000000009</v>
      </c>
      <c r="L17" s="241">
        <f t="shared" si="5"/>
        <v>104644.8</v>
      </c>
    </row>
    <row r="18" spans="3:12" x14ac:dyDescent="0.25">
      <c r="C18" s="20" t="s">
        <v>146</v>
      </c>
      <c r="D18" s="86">
        <f>$D$86</f>
        <v>53.51</v>
      </c>
      <c r="E18" s="36">
        <f t="shared" si="6"/>
        <v>41.944230769230771</v>
      </c>
      <c r="F18" s="36">
        <f t="shared" si="0"/>
        <v>39.630000000000003</v>
      </c>
      <c r="G18" s="431">
        <f t="shared" si="1"/>
        <v>53.51</v>
      </c>
      <c r="H18"/>
      <c r="I18" s="241">
        <f t="shared" si="2"/>
        <v>111300.8</v>
      </c>
      <c r="J18" s="241">
        <f t="shared" si="3"/>
        <v>87244</v>
      </c>
      <c r="K18" s="241">
        <f t="shared" si="4"/>
        <v>82430.400000000009</v>
      </c>
      <c r="L18" s="241">
        <f t="shared" si="5"/>
        <v>111300.8</v>
      </c>
    </row>
    <row r="19" spans="3:12" x14ac:dyDescent="0.25">
      <c r="C19" s="20" t="s">
        <v>147</v>
      </c>
      <c r="D19" s="86">
        <f>$D$87</f>
        <v>30.57</v>
      </c>
      <c r="E19" s="36">
        <f t="shared" si="6"/>
        <v>41.944230769230771</v>
      </c>
      <c r="F19" s="36">
        <f t="shared" si="0"/>
        <v>39.630000000000003</v>
      </c>
      <c r="G19" s="431">
        <f t="shared" si="1"/>
        <v>41.944230769230771</v>
      </c>
      <c r="H19"/>
      <c r="I19" s="241">
        <f t="shared" si="2"/>
        <v>63585.599999999999</v>
      </c>
      <c r="J19" s="241">
        <f t="shared" si="3"/>
        <v>87244</v>
      </c>
      <c r="K19" s="241">
        <f t="shared" si="4"/>
        <v>82430.400000000009</v>
      </c>
      <c r="L19" s="241">
        <f t="shared" si="5"/>
        <v>87244</v>
      </c>
    </row>
    <row r="20" spans="3:12" x14ac:dyDescent="0.25">
      <c r="C20" s="20" t="s">
        <v>148</v>
      </c>
      <c r="D20" s="86">
        <f>$D$88</f>
        <v>42.27</v>
      </c>
      <c r="E20" s="36">
        <f t="shared" si="6"/>
        <v>41.944230769230771</v>
      </c>
      <c r="F20" s="36">
        <f t="shared" si="0"/>
        <v>39.630000000000003</v>
      </c>
      <c r="G20" s="431">
        <f t="shared" si="1"/>
        <v>42.27</v>
      </c>
      <c r="H20"/>
      <c r="I20" s="241">
        <f t="shared" si="2"/>
        <v>87921.600000000006</v>
      </c>
      <c r="J20" s="241">
        <f t="shared" si="3"/>
        <v>87244</v>
      </c>
      <c r="K20" s="241">
        <f t="shared" si="4"/>
        <v>82430.400000000009</v>
      </c>
      <c r="L20" s="241">
        <f t="shared" si="5"/>
        <v>87921.600000000006</v>
      </c>
    </row>
    <row r="21" spans="3:12" x14ac:dyDescent="0.25">
      <c r="C21" s="182" t="s">
        <v>58</v>
      </c>
      <c r="D21" s="183">
        <f>$D$103</f>
        <v>30.95</v>
      </c>
      <c r="E21" s="36">
        <f t="shared" si="6"/>
        <v>41.944230769230771</v>
      </c>
      <c r="F21" s="36">
        <f t="shared" si="0"/>
        <v>39.630000000000003</v>
      </c>
      <c r="G21" s="431">
        <f t="shared" si="1"/>
        <v>41.944230769230771</v>
      </c>
      <c r="H21"/>
      <c r="I21" s="241">
        <f t="shared" si="2"/>
        <v>64376</v>
      </c>
      <c r="J21" s="241">
        <f t="shared" si="3"/>
        <v>87244</v>
      </c>
      <c r="K21" s="241">
        <f t="shared" si="4"/>
        <v>82430.400000000009</v>
      </c>
      <c r="L21" s="241">
        <f t="shared" si="5"/>
        <v>87244</v>
      </c>
    </row>
    <row r="22" spans="3:12" x14ac:dyDescent="0.25">
      <c r="C22" s="182" t="s">
        <v>149</v>
      </c>
      <c r="D22" s="183">
        <f>$D$90</f>
        <v>26.5</v>
      </c>
      <c r="E22" s="184">
        <f>E71</f>
        <v>32.928846153846152</v>
      </c>
      <c r="F22" s="184">
        <f t="shared" si="0"/>
        <v>39.630000000000003</v>
      </c>
      <c r="G22" s="432">
        <f t="shared" si="1"/>
        <v>32.928846153846152</v>
      </c>
      <c r="H22"/>
      <c r="I22" s="241">
        <f t="shared" si="2"/>
        <v>55120</v>
      </c>
      <c r="J22" s="241">
        <f t="shared" si="3"/>
        <v>68492</v>
      </c>
      <c r="K22" s="241">
        <f t="shared" si="4"/>
        <v>82430.400000000009</v>
      </c>
      <c r="L22" s="241">
        <f t="shared" si="5"/>
        <v>68492</v>
      </c>
    </row>
    <row r="23" spans="3:12" x14ac:dyDescent="0.25">
      <c r="C23" s="185" t="s">
        <v>150</v>
      </c>
      <c r="D23" s="190"/>
      <c r="E23" s="190"/>
      <c r="F23" s="190"/>
      <c r="G23" s="191"/>
      <c r="H23"/>
      <c r="I23" s="241"/>
      <c r="J23" s="241"/>
      <c r="K23" s="241"/>
      <c r="L23" s="241"/>
    </row>
    <row r="24" spans="3:12" x14ac:dyDescent="0.25">
      <c r="C24" s="188" t="s">
        <v>151</v>
      </c>
      <c r="D24" s="189">
        <f>(1+$D29)*AVERAGE($D$14:$D$22)</f>
        <v>45.292455840455844</v>
      </c>
      <c r="E24" s="189">
        <f>(1+$D29)*AVERAGE($E$14:$E$22)</f>
        <v>45.266253561253578</v>
      </c>
      <c r="F24" s="242">
        <f>INDEX($C$75:$G$77, MATCH($C$9, $C$75:$C$77, 0), MATCH($C$10, $C$74:$G$74, 0))</f>
        <v>39.630000000000003</v>
      </c>
      <c r="G24" s="189">
        <f>(1+$D29)*AVERAGE($G$14:$G$22)</f>
        <v>48.918783475783485</v>
      </c>
      <c r="H24"/>
      <c r="I24" s="241">
        <f t="shared" ref="I24:L26" si="7">D24*2080</f>
        <v>94208.308148148149</v>
      </c>
      <c r="J24" s="241">
        <f t="shared" si="7"/>
        <v>94153.807407407439</v>
      </c>
      <c r="K24" s="241">
        <f t="shared" si="7"/>
        <v>82430.400000000009</v>
      </c>
      <c r="L24" s="241">
        <f t="shared" si="7"/>
        <v>101751.06962962965</v>
      </c>
    </row>
    <row r="25" spans="3:12" x14ac:dyDescent="0.25">
      <c r="C25" s="20" t="s">
        <v>152</v>
      </c>
      <c r="D25" s="189">
        <f>(1+$D30)*AVERAGE($D$14:$D$22)</f>
        <v>20.781244444444443</v>
      </c>
      <c r="E25" s="21">
        <f>(1+$D30)*AVERAGE($E$14:$E$22)</f>
        <v>20.769222222222229</v>
      </c>
      <c r="F25" s="36">
        <f>INDEX($C$75:$G$77, MATCH($C$9, $C$75:$C$77, 0), MATCH($C$10, $C$74:$G$74, 0))</f>
        <v>39.630000000000003</v>
      </c>
      <c r="G25" s="21">
        <f>(1+$D30)*AVERAGE($G$14:$G$22)</f>
        <v>22.44508888888889</v>
      </c>
      <c r="H25"/>
      <c r="I25" s="241">
        <f t="shared" si="7"/>
        <v>43224.98844444444</v>
      </c>
      <c r="J25" s="241">
        <f t="shared" si="7"/>
        <v>43199.982222222236</v>
      </c>
      <c r="K25" s="241">
        <f t="shared" si="7"/>
        <v>82430.400000000009</v>
      </c>
      <c r="L25" s="241">
        <f t="shared" si="7"/>
        <v>46685.784888888891</v>
      </c>
    </row>
    <row r="26" spans="3:12" x14ac:dyDescent="0.25">
      <c r="C26" s="20" t="s">
        <v>153</v>
      </c>
      <c r="D26" s="189">
        <f>(1+$D31)*AVERAGE($D$14:$D$22)</f>
        <v>24.553839589743585</v>
      </c>
      <c r="E26" s="21">
        <f>(1+$D31)*AVERAGE($E$14:$E$22)</f>
        <v>24.539634871794874</v>
      </c>
      <c r="F26" s="36">
        <f>INDEX($C$75:$G$77, MATCH($C$9, $C$75:$C$77, 0), MATCH($C$10, $C$74:$G$74, 0))</f>
        <v>39.630000000000003</v>
      </c>
      <c r="G26" s="21">
        <f>(1+$D31)*AVERAGE($G$14:$G$22)</f>
        <v>26.519735794871792</v>
      </c>
      <c r="H26"/>
      <c r="I26" s="241">
        <f t="shared" si="7"/>
        <v>51071.986346666657</v>
      </c>
      <c r="J26" s="241">
        <f t="shared" si="7"/>
        <v>51042.440533333342</v>
      </c>
      <c r="K26" s="241">
        <f t="shared" si="7"/>
        <v>82430.400000000009</v>
      </c>
      <c r="L26" s="241">
        <f t="shared" si="7"/>
        <v>55161.05045333333</v>
      </c>
    </row>
    <row r="27" spans="3:12" x14ac:dyDescent="0.25">
      <c r="D27"/>
      <c r="E27"/>
      <c r="F27"/>
      <c r="G27"/>
      <c r="H27"/>
      <c r="I27" s="26"/>
      <c r="J27" s="146"/>
      <c r="K27" s="147"/>
      <c r="L27" s="147"/>
    </row>
    <row r="28" spans="3:12" x14ac:dyDescent="0.25">
      <c r="C28" s="187" t="s">
        <v>154</v>
      </c>
      <c r="D28"/>
      <c r="E28"/>
      <c r="F28"/>
      <c r="G28"/>
      <c r="H28"/>
      <c r="I28" s="26"/>
      <c r="J28" s="146"/>
      <c r="K28" s="147"/>
      <c r="L28" s="147"/>
    </row>
    <row r="29" spans="3:12" x14ac:dyDescent="0.25">
      <c r="C29" s="1" t="s">
        <v>151</v>
      </c>
      <c r="D29" s="433">
        <v>0.13333333333333353</v>
      </c>
      <c r="E29" s="72" t="s">
        <v>155</v>
      </c>
      <c r="F29"/>
      <c r="G29"/>
      <c r="H29"/>
      <c r="I29" s="26"/>
      <c r="J29" s="146"/>
      <c r="K29" s="147"/>
      <c r="L29" s="147"/>
    </row>
    <row r="30" spans="3:12" x14ac:dyDescent="0.25">
      <c r="C30" s="1" t="s">
        <v>152</v>
      </c>
      <c r="D30" s="433">
        <v>-0.48</v>
      </c>
      <c r="E30" s="72"/>
      <c r="F30"/>
      <c r="G30"/>
      <c r="H30"/>
      <c r="I30" s="26"/>
      <c r="J30" s="146"/>
      <c r="K30" s="147"/>
      <c r="L30" s="147"/>
    </row>
    <row r="31" spans="3:12" x14ac:dyDescent="0.25">
      <c r="C31" s="1" t="s">
        <v>153</v>
      </c>
      <c r="D31" s="433">
        <v>-0.38560000000000005</v>
      </c>
      <c r="E31" s="72"/>
      <c r="F31"/>
      <c r="G31"/>
      <c r="H31"/>
      <c r="I31" s="26"/>
      <c r="J31" s="146"/>
      <c r="K31" s="147"/>
      <c r="L31" s="147"/>
    </row>
    <row r="32" spans="3:12" x14ac:dyDescent="0.25">
      <c r="D32"/>
      <c r="E32"/>
      <c r="F32"/>
      <c r="G32"/>
      <c r="H32"/>
      <c r="I32" s="26"/>
      <c r="J32" s="146"/>
      <c r="K32" s="147"/>
      <c r="L32" s="147"/>
    </row>
    <row r="33" spans="2:10" s="10" customFormat="1" x14ac:dyDescent="0.25">
      <c r="B33" s="10" t="s">
        <v>156</v>
      </c>
      <c r="D33" s="29"/>
      <c r="E33" s="29"/>
      <c r="F33" s="29"/>
      <c r="G33" s="29"/>
      <c r="H33" s="29"/>
      <c r="I33" s="30"/>
    </row>
    <row r="35" spans="2:10" x14ac:dyDescent="0.25">
      <c r="D35" s="412" t="s">
        <v>401</v>
      </c>
      <c r="E35" s="413"/>
      <c r="F35" s="414"/>
      <c r="H35" s="409" t="s">
        <v>402</v>
      </c>
      <c r="I35" s="410"/>
      <c r="J35" s="411"/>
    </row>
    <row r="36" spans="2:10" s="65" customFormat="1" ht="30" x14ac:dyDescent="0.25">
      <c r="C36" s="33" t="s">
        <v>157</v>
      </c>
      <c r="D36" s="34" t="s">
        <v>398</v>
      </c>
      <c r="E36" s="34" t="s">
        <v>399</v>
      </c>
      <c r="F36" s="34" t="s">
        <v>400</v>
      </c>
      <c r="G36" s="224"/>
      <c r="H36" s="34" t="str">
        <f>D36</f>
        <v>Current Wages</v>
      </c>
      <c r="I36" s="34" t="str">
        <f>E36</f>
        <v>Education Level Wages</v>
      </c>
      <c r="J36" s="34" t="str">
        <f>F36</f>
        <v>Custom Wages</v>
      </c>
    </row>
    <row r="37" spans="2:10" x14ac:dyDescent="0.25">
      <c r="C37" s="20" t="s">
        <v>158</v>
      </c>
      <c r="D37" s="415">
        <f>H37/2080</f>
        <v>34.541876302083338</v>
      </c>
      <c r="E37" s="415">
        <f>$E$41*(1+$D$52)</f>
        <v>50.059304051797398</v>
      </c>
      <c r="F37" s="415">
        <f>(1+$D52)*F$41</f>
        <v>39.525888616498328</v>
      </c>
      <c r="H37" s="123">
        <v>71847.102708333347</v>
      </c>
      <c r="I37" s="416">
        <f>E37*2080</f>
        <v>104123.35242773859</v>
      </c>
      <c r="J37" s="416">
        <f>F37*2080</f>
        <v>82213.848322316524</v>
      </c>
    </row>
    <row r="38" spans="2:10" x14ac:dyDescent="0.25">
      <c r="C38" s="20" t="s">
        <v>159</v>
      </c>
      <c r="D38" s="434">
        <v>41.25</v>
      </c>
      <c r="E38" s="434">
        <v>41.25</v>
      </c>
      <c r="F38" s="435">
        <v>41.25</v>
      </c>
      <c r="H38" s="416">
        <f>D38*2080</f>
        <v>85800</v>
      </c>
      <c r="I38" s="416">
        <f>E38*2080</f>
        <v>85800</v>
      </c>
      <c r="J38" s="416">
        <f t="shared" ref="J38:J48" si="8">F38*2080</f>
        <v>85800</v>
      </c>
    </row>
    <row r="39" spans="2:10" x14ac:dyDescent="0.25">
      <c r="C39" s="20" t="s">
        <v>160</v>
      </c>
      <c r="D39" s="415">
        <f t="shared" ref="D39:D45" si="9">H39/2080</f>
        <v>20.315656804733727</v>
      </c>
      <c r="E39" s="415">
        <f>$E$71</f>
        <v>32.928846153846152</v>
      </c>
      <c r="F39" s="415">
        <f>(1+$D54)*F$41</f>
        <v>23.246982329864931</v>
      </c>
      <c r="H39" s="123">
        <v>42256.56615384615</v>
      </c>
      <c r="I39" s="416">
        <f t="shared" ref="H39:I48" si="10">E39*2080</f>
        <v>68492</v>
      </c>
      <c r="J39" s="416">
        <f t="shared" si="8"/>
        <v>48353.723246119058</v>
      </c>
    </row>
    <row r="40" spans="2:10" x14ac:dyDescent="0.25">
      <c r="C40" s="20" t="s">
        <v>161</v>
      </c>
      <c r="D40" s="415">
        <f t="shared" si="9"/>
        <v>19.969014827935219</v>
      </c>
      <c r="E40" s="415">
        <f>$E$69</f>
        <v>18.127884615384616</v>
      </c>
      <c r="F40" s="415">
        <f>(1+$D55)*F$41</f>
        <v>22.850323733646341</v>
      </c>
      <c r="H40" s="123">
        <v>41535.550842105258</v>
      </c>
      <c r="I40" s="416">
        <f t="shared" si="10"/>
        <v>37706</v>
      </c>
      <c r="J40" s="416">
        <f t="shared" si="8"/>
        <v>47528.673365984389</v>
      </c>
    </row>
    <row r="41" spans="2:10" x14ac:dyDescent="0.25">
      <c r="C41" s="20" t="s">
        <v>162</v>
      </c>
      <c r="D41" s="415">
        <f t="shared" si="9"/>
        <v>22.721533032891752</v>
      </c>
      <c r="E41" s="415">
        <f>$E$71</f>
        <v>32.928846153846152</v>
      </c>
      <c r="F41" s="434">
        <v>26</v>
      </c>
      <c r="H41" s="123">
        <v>47260.788708414846</v>
      </c>
      <c r="I41" s="416">
        <f t="shared" si="10"/>
        <v>68492</v>
      </c>
      <c r="J41" s="416">
        <f t="shared" si="8"/>
        <v>54080</v>
      </c>
    </row>
    <row r="42" spans="2:10" x14ac:dyDescent="0.25">
      <c r="C42" s="20" t="s">
        <v>163</v>
      </c>
      <c r="D42" s="415">
        <f t="shared" si="9"/>
        <v>28.802581318681309</v>
      </c>
      <c r="E42" s="415">
        <f>$E$72</f>
        <v>41.944230769230771</v>
      </c>
      <c r="F42" s="415">
        <f>(1+$D57)*F$41</f>
        <v>32.958476578215567</v>
      </c>
      <c r="H42" s="123">
        <v>59909.369142857126</v>
      </c>
      <c r="I42" s="416">
        <f t="shared" si="10"/>
        <v>87244</v>
      </c>
      <c r="J42" s="416">
        <f t="shared" si="8"/>
        <v>68553.63128268838</v>
      </c>
    </row>
    <row r="43" spans="2:10" x14ac:dyDescent="0.25">
      <c r="C43" s="20" t="s">
        <v>164</v>
      </c>
      <c r="D43" s="415">
        <f t="shared" si="9"/>
        <v>15.172625874125874</v>
      </c>
      <c r="E43" s="415">
        <f>$E$69</f>
        <v>18.127884615384616</v>
      </c>
      <c r="F43" s="415">
        <f>(1+$D58)*F$41</f>
        <v>17.361868680084676</v>
      </c>
      <c r="H43" s="123">
        <v>31559.061818181817</v>
      </c>
      <c r="I43" s="416">
        <f t="shared" si="10"/>
        <v>37706</v>
      </c>
      <c r="J43" s="416">
        <f t="shared" si="8"/>
        <v>36112.686854576124</v>
      </c>
    </row>
    <row r="44" spans="2:10" x14ac:dyDescent="0.25">
      <c r="C44" s="20" t="s">
        <v>165</v>
      </c>
      <c r="D44" s="415">
        <f t="shared" si="9"/>
        <v>45.318160710632171</v>
      </c>
      <c r="E44" s="415">
        <f>$E$41*(1+$D$59)</f>
        <v>65.676675066575001</v>
      </c>
      <c r="F44" s="435">
        <f>($D$59+1)*F41</f>
        <v>51.857072177778079</v>
      </c>
      <c r="H44" s="123">
        <v>94261.774278114914</v>
      </c>
      <c r="I44" s="416">
        <f t="shared" si="10"/>
        <v>136607.48413847599</v>
      </c>
      <c r="J44" s="416">
        <f t="shared" si="8"/>
        <v>107862.71012977841</v>
      </c>
    </row>
    <row r="45" spans="2:10" x14ac:dyDescent="0.25">
      <c r="C45" s="20" t="s">
        <v>166</v>
      </c>
      <c r="D45" s="415">
        <f t="shared" si="9"/>
        <v>89.065059506056102</v>
      </c>
      <c r="E45" s="415">
        <f>$E$41*(1+$D$60)</f>
        <v>129.07622200986751</v>
      </c>
      <c r="F45" s="415">
        <f>(1+$D60)*F$41</f>
        <v>101.91616665148682</v>
      </c>
      <c r="H45" s="123">
        <v>185255.32377259669</v>
      </c>
      <c r="I45" s="416">
        <f t="shared" si="10"/>
        <v>268478.54178052442</v>
      </c>
      <c r="J45" s="416">
        <f t="shared" si="8"/>
        <v>211985.62663509257</v>
      </c>
    </row>
    <row r="46" spans="2:10" x14ac:dyDescent="0.25">
      <c r="C46" s="20" t="s">
        <v>167</v>
      </c>
      <c r="D46" s="415">
        <f>D41</f>
        <v>22.721533032891752</v>
      </c>
      <c r="E46" s="415">
        <f>E41</f>
        <v>32.928846153846152</v>
      </c>
      <c r="F46" s="415">
        <f>(1+$D61)*F$41</f>
        <v>26</v>
      </c>
      <c r="H46" s="416">
        <f t="shared" si="10"/>
        <v>47260.788708414846</v>
      </c>
      <c r="I46" s="416">
        <f t="shared" si="10"/>
        <v>68492</v>
      </c>
      <c r="J46" s="416">
        <f t="shared" si="8"/>
        <v>54080</v>
      </c>
    </row>
    <row r="47" spans="2:10" x14ac:dyDescent="0.25">
      <c r="C47" s="20" t="s">
        <v>168</v>
      </c>
      <c r="D47" s="415">
        <f>H47/2080</f>
        <v>17.669543536324788</v>
      </c>
      <c r="E47" s="415">
        <f>$E$69</f>
        <v>18.127884615384616</v>
      </c>
      <c r="F47" s="415">
        <f>(1+$D62)*F$41</f>
        <v>20.219064060484126</v>
      </c>
      <c r="H47" s="123">
        <v>36752.650555555556</v>
      </c>
      <c r="I47" s="416">
        <f t="shared" si="10"/>
        <v>37706</v>
      </c>
      <c r="J47" s="416">
        <f t="shared" si="8"/>
        <v>42055.653245806978</v>
      </c>
    </row>
    <row r="48" spans="2:10" x14ac:dyDescent="0.25">
      <c r="C48" s="20" t="s">
        <v>169</v>
      </c>
      <c r="D48" s="415">
        <f>H48/2080</f>
        <v>41.941166414835166</v>
      </c>
      <c r="E48" s="415">
        <f>$E$41*(1+$D$63)</f>
        <v>60.782615961155422</v>
      </c>
      <c r="F48" s="415">
        <f>(1+$D63)*F$41</f>
        <v>47.992814798506181</v>
      </c>
      <c r="H48" s="123">
        <v>87237.626142857145</v>
      </c>
      <c r="I48" s="416">
        <f t="shared" si="10"/>
        <v>126427.84119920328</v>
      </c>
      <c r="J48" s="416">
        <f t="shared" si="8"/>
        <v>99825.054780892853</v>
      </c>
    </row>
    <row r="49" spans="3:11" x14ac:dyDescent="0.25">
      <c r="C49" s="1" t="s">
        <v>170</v>
      </c>
      <c r="D49" s="365"/>
      <c r="E49" s="365"/>
      <c r="F49" s="365"/>
      <c r="H49" s="313"/>
      <c r="I49" s="243"/>
      <c r="J49" s="243"/>
      <c r="K49" s="243"/>
    </row>
    <row r="51" spans="3:11" x14ac:dyDescent="0.25">
      <c r="C51" s="187" t="s">
        <v>171</v>
      </c>
      <c r="D51" s="53"/>
      <c r="E51" s="128"/>
      <c r="F51" s="128"/>
      <c r="G51" s="128"/>
      <c r="I51" s="26"/>
      <c r="J51" s="16"/>
    </row>
    <row r="52" spans="3:11" x14ac:dyDescent="0.25">
      <c r="C52" s="1" t="s">
        <v>158</v>
      </c>
      <c r="D52" s="385">
        <f>(D37-$D$41)/$D$41</f>
        <v>0.52022648524993564</v>
      </c>
      <c r="E52" s="186"/>
      <c r="F52" s="128"/>
      <c r="G52" s="128"/>
      <c r="I52" s="26"/>
      <c r="J52" s="16"/>
    </row>
    <row r="53" spans="3:11" x14ac:dyDescent="0.25">
      <c r="C53" s="1" t="s">
        <v>159</v>
      </c>
      <c r="D53" s="385">
        <f>(F38-$F$41)/$F$41</f>
        <v>0.58653846153846156</v>
      </c>
      <c r="E53" t="s">
        <v>172</v>
      </c>
      <c r="F53" s="128"/>
      <c r="G53" s="128"/>
      <c r="I53" s="26"/>
      <c r="J53" s="16"/>
    </row>
    <row r="54" spans="3:11" x14ac:dyDescent="0.25">
      <c r="C54" s="1" t="s">
        <v>160</v>
      </c>
      <c r="D54" s="385">
        <f t="shared" ref="D54:D63" si="11">(D39-$D$41)/$D$41</f>
        <v>-0.10588529500519495</v>
      </c>
      <c r="E54"/>
      <c r="F54" s="128"/>
      <c r="G54" s="128"/>
      <c r="I54" s="26"/>
      <c r="J54" s="16"/>
    </row>
    <row r="55" spans="3:11" x14ac:dyDescent="0.25">
      <c r="C55" s="1" t="s">
        <v>161</v>
      </c>
      <c r="D55" s="385">
        <f t="shared" si="11"/>
        <v>-0.12114139485975621</v>
      </c>
      <c r="E55"/>
      <c r="F55" s="128"/>
      <c r="G55" s="128"/>
      <c r="I55" s="26"/>
      <c r="J55" s="16"/>
    </row>
    <row r="56" spans="3:11" x14ac:dyDescent="0.25">
      <c r="C56" s="1" t="s">
        <v>162</v>
      </c>
      <c r="D56" s="385">
        <f t="shared" si="11"/>
        <v>0</v>
      </c>
      <c r="E56"/>
      <c r="F56" s="128"/>
      <c r="G56" s="128"/>
      <c r="I56" s="26"/>
      <c r="J56" s="16"/>
    </row>
    <row r="57" spans="3:11" x14ac:dyDescent="0.25">
      <c r="C57" s="1" t="s">
        <v>163</v>
      </c>
      <c r="D57" s="385">
        <f t="shared" si="11"/>
        <v>0.26763371454675239</v>
      </c>
      <c r="E57" s="186"/>
      <c r="F57" s="128"/>
      <c r="G57" s="128"/>
      <c r="I57" s="26"/>
      <c r="J57" s="16"/>
    </row>
    <row r="58" spans="3:11" x14ac:dyDescent="0.25">
      <c r="C58" s="1" t="s">
        <v>164</v>
      </c>
      <c r="D58" s="385">
        <f t="shared" si="11"/>
        <v>-0.33223581999674318</v>
      </c>
      <c r="E58"/>
      <c r="F58" s="128"/>
      <c r="G58" s="128"/>
      <c r="I58" s="26"/>
      <c r="J58" s="16"/>
    </row>
    <row r="59" spans="3:11" x14ac:dyDescent="0.25">
      <c r="C59" s="1" t="s">
        <v>165</v>
      </c>
      <c r="D59" s="385">
        <f t="shared" si="11"/>
        <v>0.99450277606838755</v>
      </c>
      <c r="E59"/>
      <c r="F59" s="128"/>
      <c r="G59" s="128"/>
      <c r="I59" s="26"/>
      <c r="J59" s="16"/>
    </row>
    <row r="60" spans="3:11" x14ac:dyDescent="0.25">
      <c r="C60" s="1" t="s">
        <v>166</v>
      </c>
      <c r="D60" s="385">
        <f t="shared" si="11"/>
        <v>2.9198525635187238</v>
      </c>
      <c r="E60" s="186"/>
      <c r="F60" s="128"/>
      <c r="G60" s="128"/>
      <c r="I60" s="26"/>
      <c r="J60" s="16"/>
    </row>
    <row r="61" spans="3:11" x14ac:dyDescent="0.25">
      <c r="C61" s="1" t="s">
        <v>167</v>
      </c>
      <c r="D61" s="385">
        <f t="shared" si="11"/>
        <v>0</v>
      </c>
      <c r="E61" t="s">
        <v>173</v>
      </c>
      <c r="F61" s="128"/>
      <c r="G61" s="128"/>
      <c r="I61" s="26"/>
      <c r="J61" s="16"/>
    </row>
    <row r="62" spans="3:11" x14ac:dyDescent="0.25">
      <c r="C62" s="1" t="s">
        <v>168</v>
      </c>
      <c r="D62" s="385">
        <f t="shared" si="11"/>
        <v>-0.22234368998137979</v>
      </c>
      <c r="E62"/>
      <c r="F62" s="128"/>
      <c r="G62" s="128"/>
      <c r="I62" s="26"/>
      <c r="J62" s="16"/>
    </row>
    <row r="63" spans="3:11" x14ac:dyDescent="0.25">
      <c r="C63" s="1" t="s">
        <v>169</v>
      </c>
      <c r="D63" s="385">
        <f t="shared" si="11"/>
        <v>0.84587749225023767</v>
      </c>
      <c r="E63"/>
      <c r="F63" s="128"/>
      <c r="G63" s="128"/>
      <c r="I63" s="26"/>
      <c r="J63" s="16"/>
    </row>
    <row r="64" spans="3:11" x14ac:dyDescent="0.25">
      <c r="C64" s="187"/>
      <c r="D64" s="53"/>
      <c r="E64" s="128"/>
      <c r="F64" s="128"/>
      <c r="G64" s="128"/>
      <c r="I64" s="26"/>
      <c r="J64" s="16"/>
    </row>
    <row r="65" spans="2:11" x14ac:dyDescent="0.25">
      <c r="C65" s="1"/>
      <c r="I65" s="26"/>
      <c r="J65" s="16"/>
    </row>
    <row r="66" spans="2:11" s="10" customFormat="1" x14ac:dyDescent="0.25">
      <c r="B66" s="10" t="s">
        <v>174</v>
      </c>
      <c r="D66" s="29"/>
      <c r="E66" s="29"/>
      <c r="F66" s="29"/>
      <c r="G66" s="29"/>
      <c r="H66" s="29"/>
      <c r="I66" s="30"/>
    </row>
    <row r="67" spans="2:11" outlineLevel="1" x14ac:dyDescent="0.25"/>
    <row r="68" spans="2:11" ht="30" outlineLevel="1" x14ac:dyDescent="0.25">
      <c r="C68" s="319" t="s">
        <v>175</v>
      </c>
      <c r="D68" s="231" t="s">
        <v>176</v>
      </c>
      <c r="E68" s="231" t="s">
        <v>177</v>
      </c>
    </row>
    <row r="69" spans="2:11" outlineLevel="1" x14ac:dyDescent="0.25">
      <c r="C69" s="232" t="s">
        <v>178</v>
      </c>
      <c r="D69" s="386">
        <v>37706</v>
      </c>
      <c r="E69" s="387">
        <f>D69/2080</f>
        <v>18.127884615384616</v>
      </c>
      <c r="F69" s="31" t="s">
        <v>179</v>
      </c>
    </row>
    <row r="70" spans="2:11" outlineLevel="1" x14ac:dyDescent="0.25">
      <c r="C70" s="232" t="s">
        <v>180</v>
      </c>
      <c r="D70" s="386">
        <v>44840</v>
      </c>
      <c r="E70" s="387">
        <f>D70/2080</f>
        <v>21.557692307692307</v>
      </c>
    </row>
    <row r="71" spans="2:11" outlineLevel="1" x14ac:dyDescent="0.25">
      <c r="C71" s="232" t="s">
        <v>181</v>
      </c>
      <c r="D71" s="386">
        <v>68492</v>
      </c>
      <c r="E71" s="387">
        <f>D71/2080</f>
        <v>32.928846153846152</v>
      </c>
    </row>
    <row r="72" spans="2:11" outlineLevel="1" x14ac:dyDescent="0.25">
      <c r="C72" s="232" t="s">
        <v>182</v>
      </c>
      <c r="D72" s="386">
        <v>87244</v>
      </c>
      <c r="E72" s="387">
        <f>D72/2080</f>
        <v>41.944230769230771</v>
      </c>
    </row>
    <row r="73" spans="2:11" outlineLevel="1" x14ac:dyDescent="0.25"/>
    <row r="74" spans="2:11" outlineLevel="1" x14ac:dyDescent="0.25">
      <c r="C74" s="181" t="s">
        <v>183</v>
      </c>
      <c r="D74" s="34" t="s">
        <v>184</v>
      </c>
      <c r="E74" s="34" t="s">
        <v>185</v>
      </c>
      <c r="F74" s="34" t="s">
        <v>186</v>
      </c>
      <c r="G74" s="34" t="s">
        <v>187</v>
      </c>
    </row>
    <row r="75" spans="2:11" outlineLevel="1" x14ac:dyDescent="0.25">
      <c r="C75" s="20" t="s">
        <v>132</v>
      </c>
      <c r="D75" s="36">
        <v>22.86</v>
      </c>
      <c r="E75" s="36">
        <v>39.630000000000003</v>
      </c>
      <c r="F75" s="36">
        <v>50.71</v>
      </c>
      <c r="G75" s="36">
        <v>64.150000000000006</v>
      </c>
      <c r="H75" s="119">
        <f t="shared" ref="H75:K77" si="12">D75*2080</f>
        <v>47548.799999999996</v>
      </c>
      <c r="I75" s="119">
        <f t="shared" si="12"/>
        <v>82430.400000000009</v>
      </c>
      <c r="J75" s="119">
        <f>F75*2080</f>
        <v>105476.8</v>
      </c>
      <c r="K75" s="119">
        <f t="shared" si="12"/>
        <v>133432</v>
      </c>
    </row>
    <row r="76" spans="2:11" outlineLevel="1" x14ac:dyDescent="0.25">
      <c r="C76" s="20" t="s">
        <v>188</v>
      </c>
      <c r="D76" s="36">
        <v>31.28</v>
      </c>
      <c r="E76" s="36">
        <v>36.49</v>
      </c>
      <c r="F76" s="36">
        <v>41.16</v>
      </c>
      <c r="G76" s="36">
        <v>43.99</v>
      </c>
      <c r="H76" s="119">
        <f t="shared" si="12"/>
        <v>65062.400000000001</v>
      </c>
      <c r="I76" s="119">
        <f t="shared" si="12"/>
        <v>75899.199999999997</v>
      </c>
      <c r="J76" s="119">
        <f>F76*2080</f>
        <v>85612.799999999988</v>
      </c>
      <c r="K76" s="119">
        <f t="shared" si="12"/>
        <v>91499.199999999997</v>
      </c>
    </row>
    <row r="77" spans="2:11" outlineLevel="1" x14ac:dyDescent="0.25">
      <c r="C77" s="20" t="s">
        <v>189</v>
      </c>
      <c r="D77" s="36">
        <v>15.64</v>
      </c>
      <c r="E77" s="36">
        <v>22.12</v>
      </c>
      <c r="F77" s="36">
        <v>27.88</v>
      </c>
      <c r="G77" s="36">
        <v>31.69</v>
      </c>
      <c r="H77" s="119">
        <f t="shared" si="12"/>
        <v>32531.200000000001</v>
      </c>
      <c r="I77" s="119">
        <f t="shared" si="12"/>
        <v>46009.599999999999</v>
      </c>
      <c r="J77" s="119">
        <f>F77*2080</f>
        <v>57990.400000000001</v>
      </c>
      <c r="K77" s="119">
        <f t="shared" si="12"/>
        <v>65915.199999999997</v>
      </c>
    </row>
    <row r="78" spans="2:11" outlineLevel="1" x14ac:dyDescent="0.25"/>
    <row r="79" spans="2:11" outlineLevel="1" x14ac:dyDescent="0.25"/>
    <row r="80" spans="2:11" outlineLevel="1" x14ac:dyDescent="0.25">
      <c r="C80" s="125" t="s">
        <v>190</v>
      </c>
      <c r="D80" s="133" t="s">
        <v>191</v>
      </c>
      <c r="E80" s="134" t="s">
        <v>192</v>
      </c>
    </row>
    <row r="81" spans="3:9" outlineLevel="1" x14ac:dyDescent="0.25">
      <c r="C81" s="126" t="s">
        <v>142</v>
      </c>
      <c r="D81" s="388">
        <f>$D$94</f>
        <v>42.97</v>
      </c>
      <c r="E81" s="389"/>
    </row>
    <row r="82" spans="3:9" outlineLevel="1" x14ac:dyDescent="0.25">
      <c r="C82" s="126" t="s">
        <v>193</v>
      </c>
      <c r="D82" s="389"/>
      <c r="E82" s="36">
        <f>G111</f>
        <v>55.177884615384613</v>
      </c>
    </row>
    <row r="83" spans="3:9" outlineLevel="1" x14ac:dyDescent="0.25">
      <c r="C83" s="126" t="s">
        <v>143</v>
      </c>
      <c r="D83" s="388">
        <f>$D$95</f>
        <v>36.365384615384613</v>
      </c>
      <c r="E83" s="388">
        <f>$G$115</f>
        <v>43.442238865539373</v>
      </c>
    </row>
    <row r="84" spans="3:9" outlineLevel="1" x14ac:dyDescent="0.25">
      <c r="C84" s="126" t="s">
        <v>144</v>
      </c>
      <c r="D84" s="36">
        <f>$D$96</f>
        <v>46.23</v>
      </c>
      <c r="E84" s="36">
        <f>G107</f>
        <v>44.314903846153847</v>
      </c>
    </row>
    <row r="85" spans="3:9" outlineLevel="1" x14ac:dyDescent="0.25">
      <c r="C85" s="126" t="s">
        <v>145</v>
      </c>
      <c r="D85" s="36">
        <f>$D$97</f>
        <v>50.31</v>
      </c>
      <c r="E85" s="36">
        <f>G108</f>
        <v>47.607692307692311</v>
      </c>
    </row>
    <row r="86" spans="3:9" outlineLevel="1" x14ac:dyDescent="0.25">
      <c r="C86" s="126" t="s">
        <v>146</v>
      </c>
      <c r="D86" s="36">
        <f>$D$98</f>
        <v>53.51</v>
      </c>
      <c r="E86" s="36">
        <f>G110</f>
        <v>47.525480769230768</v>
      </c>
    </row>
    <row r="87" spans="3:9" outlineLevel="1" x14ac:dyDescent="0.25">
      <c r="C87" s="126" t="s">
        <v>147</v>
      </c>
      <c r="D87" s="36">
        <f>$D$99</f>
        <v>30.57</v>
      </c>
      <c r="E87" s="36">
        <f>G113</f>
        <v>42.795192307692311</v>
      </c>
    </row>
    <row r="88" spans="3:9" outlineLevel="1" x14ac:dyDescent="0.25">
      <c r="C88" s="126" t="s">
        <v>194</v>
      </c>
      <c r="D88" s="36">
        <f>$D$100</f>
        <v>42.27</v>
      </c>
      <c r="E88" s="36">
        <f>G109</f>
        <v>44.226923076923079</v>
      </c>
    </row>
    <row r="89" spans="3:9" outlineLevel="1" x14ac:dyDescent="0.25">
      <c r="C89" s="126" t="s">
        <v>58</v>
      </c>
      <c r="D89" s="36">
        <f>$D$103</f>
        <v>30.95</v>
      </c>
      <c r="E89" s="389"/>
    </row>
    <row r="90" spans="3:9" outlineLevel="1" x14ac:dyDescent="0.25">
      <c r="C90" s="126" t="s">
        <v>195</v>
      </c>
      <c r="D90" s="36">
        <f>$D$101</f>
        <v>26.5</v>
      </c>
      <c r="E90" s="389"/>
    </row>
    <row r="91" spans="3:9" outlineLevel="1" x14ac:dyDescent="0.25">
      <c r="C91" s="126" t="s">
        <v>196</v>
      </c>
      <c r="D91" s="36">
        <f>$D$101</f>
        <v>26.5</v>
      </c>
      <c r="E91" s="36">
        <f>G114</f>
        <v>27.169230769230769</v>
      </c>
    </row>
    <row r="92" spans="3:9" outlineLevel="1" x14ac:dyDescent="0.25"/>
    <row r="93" spans="3:9" outlineLevel="1" x14ac:dyDescent="0.25">
      <c r="C93" s="125" t="s">
        <v>197</v>
      </c>
      <c r="D93" s="134" t="s">
        <v>198</v>
      </c>
      <c r="E93" s="134" t="s">
        <v>199</v>
      </c>
      <c r="F93"/>
      <c r="G93"/>
      <c r="I93" s="127" t="s">
        <v>200</v>
      </c>
    </row>
    <row r="94" spans="3:9" outlineLevel="1" x14ac:dyDescent="0.25">
      <c r="C94" s="126" t="s">
        <v>142</v>
      </c>
      <c r="D94" s="36">
        <v>42.97</v>
      </c>
      <c r="E94" s="37">
        <v>89390</v>
      </c>
      <c r="F94"/>
      <c r="G94"/>
      <c r="I94" s="124" t="s">
        <v>201</v>
      </c>
    </row>
    <row r="95" spans="3:9" outlineLevel="1" x14ac:dyDescent="0.25">
      <c r="C95" s="126" t="s">
        <v>202</v>
      </c>
      <c r="D95" s="36">
        <f>E95/2080</f>
        <v>36.365384615384613</v>
      </c>
      <c r="E95" s="37">
        <v>75640</v>
      </c>
      <c r="F95"/>
      <c r="G95"/>
      <c r="I95" s="124" t="s">
        <v>203</v>
      </c>
    </row>
    <row r="96" spans="3:9" outlineLevel="1" x14ac:dyDescent="0.25">
      <c r="C96" s="126" t="s">
        <v>144</v>
      </c>
      <c r="D96" s="36">
        <v>46.23</v>
      </c>
      <c r="E96" s="37">
        <v>96160</v>
      </c>
      <c r="F96"/>
      <c r="G96"/>
    </row>
    <row r="97" spans="3:9" outlineLevel="1" x14ac:dyDescent="0.25">
      <c r="C97" s="126" t="s">
        <v>145</v>
      </c>
      <c r="D97" s="36">
        <v>50.31</v>
      </c>
      <c r="E97" s="37">
        <v>104640</v>
      </c>
      <c r="F97"/>
      <c r="G97"/>
    </row>
    <row r="98" spans="3:9" outlineLevel="1" x14ac:dyDescent="0.25">
      <c r="C98" s="126" t="s">
        <v>204</v>
      </c>
      <c r="D98" s="36">
        <v>53.51</v>
      </c>
      <c r="E98" s="37">
        <v>111300</v>
      </c>
      <c r="F98"/>
      <c r="G98"/>
    </row>
    <row r="99" spans="3:9" outlineLevel="1" x14ac:dyDescent="0.25">
      <c r="C99" s="126" t="s">
        <v>205</v>
      </c>
      <c r="D99" s="36">
        <v>30.57</v>
      </c>
      <c r="E99" s="37">
        <v>63590</v>
      </c>
      <c r="F99"/>
      <c r="G99"/>
    </row>
    <row r="100" spans="3:9" outlineLevel="1" x14ac:dyDescent="0.25">
      <c r="C100" s="126" t="s">
        <v>194</v>
      </c>
      <c r="D100" s="36">
        <v>42.27</v>
      </c>
      <c r="E100" s="37">
        <v>87910</v>
      </c>
      <c r="F100"/>
      <c r="G100"/>
    </row>
    <row r="101" spans="3:9" outlineLevel="1" x14ac:dyDescent="0.25">
      <c r="C101" s="126" t="s">
        <v>206</v>
      </c>
      <c r="D101" s="36">
        <v>26.5</v>
      </c>
      <c r="E101" s="37">
        <v>55120</v>
      </c>
      <c r="F101"/>
      <c r="G101"/>
    </row>
    <row r="102" spans="3:9" outlineLevel="1" x14ac:dyDescent="0.25">
      <c r="C102" s="126" t="s">
        <v>207</v>
      </c>
      <c r="D102" s="36">
        <v>20.51</v>
      </c>
      <c r="E102" s="37">
        <v>42660</v>
      </c>
      <c r="F102"/>
      <c r="G102"/>
    </row>
    <row r="103" spans="3:9" outlineLevel="1" x14ac:dyDescent="0.25">
      <c r="C103" s="126" t="s">
        <v>58</v>
      </c>
      <c r="D103" s="36">
        <v>30.95</v>
      </c>
      <c r="E103" s="37">
        <v>64370</v>
      </c>
      <c r="F103"/>
      <c r="G103"/>
    </row>
    <row r="104" spans="3:9" outlineLevel="1" x14ac:dyDescent="0.25">
      <c r="C104" s="126" t="s">
        <v>208</v>
      </c>
      <c r="D104" s="36">
        <v>23.06</v>
      </c>
      <c r="E104" s="37">
        <v>47970</v>
      </c>
      <c r="F104"/>
      <c r="G104"/>
    </row>
    <row r="105" spans="3:9" outlineLevel="1" x14ac:dyDescent="0.25"/>
    <row r="106" spans="3:9" ht="30" outlineLevel="1" x14ac:dyDescent="0.25">
      <c r="C106" s="33" t="s">
        <v>209</v>
      </c>
      <c r="D106" s="34" t="s">
        <v>210</v>
      </c>
      <c r="E106" s="34" t="s">
        <v>211</v>
      </c>
      <c r="F106" s="34" t="s">
        <v>212</v>
      </c>
      <c r="G106" s="34" t="s">
        <v>213</v>
      </c>
      <c r="I106" s="32" t="s">
        <v>200</v>
      </c>
    </row>
    <row r="107" spans="3:9" outlineLevel="1" x14ac:dyDescent="0.25">
      <c r="C107" s="20" t="s">
        <v>144</v>
      </c>
      <c r="D107" s="37">
        <v>70924</v>
      </c>
      <c r="E107" s="37">
        <v>92175</v>
      </c>
      <c r="F107" s="36">
        <f t="shared" ref="F107:F115" si="13">IFERROR(D107/2080,0)</f>
        <v>34.098076923076924</v>
      </c>
      <c r="G107" s="36">
        <f t="shared" ref="G107:G114" si="14">IFERROR(E107/2080,0)</f>
        <v>44.314903846153847</v>
      </c>
      <c r="I107" s="31" t="s">
        <v>214</v>
      </c>
    </row>
    <row r="108" spans="3:9" outlineLevel="1" x14ac:dyDescent="0.25">
      <c r="C108" s="20" t="s">
        <v>145</v>
      </c>
      <c r="D108" s="37">
        <v>80113</v>
      </c>
      <c r="E108" s="37">
        <v>99024</v>
      </c>
      <c r="F108" s="36">
        <f t="shared" si="13"/>
        <v>38.515865384615381</v>
      </c>
      <c r="G108" s="36">
        <f t="shared" si="14"/>
        <v>47.607692307692311</v>
      </c>
    </row>
    <row r="109" spans="3:9" outlineLevel="1" x14ac:dyDescent="0.25">
      <c r="C109" s="20" t="s">
        <v>194</v>
      </c>
      <c r="D109" s="37">
        <v>68643</v>
      </c>
      <c r="E109" s="37">
        <v>91992</v>
      </c>
      <c r="F109" s="36">
        <f t="shared" si="13"/>
        <v>33.001442307692308</v>
      </c>
      <c r="G109" s="36">
        <f t="shared" si="14"/>
        <v>44.226923076923079</v>
      </c>
    </row>
    <row r="110" spans="3:9" outlineLevel="1" x14ac:dyDescent="0.25">
      <c r="C110" s="20" t="s">
        <v>146</v>
      </c>
      <c r="D110" s="37">
        <v>70924</v>
      </c>
      <c r="E110" s="37">
        <v>98853</v>
      </c>
      <c r="F110" s="36">
        <f t="shared" si="13"/>
        <v>34.098076923076924</v>
      </c>
      <c r="G110" s="36">
        <f t="shared" si="14"/>
        <v>47.525480769230768</v>
      </c>
    </row>
    <row r="111" spans="3:9" outlineLevel="1" x14ac:dyDescent="0.25">
      <c r="C111" s="20" t="s">
        <v>193</v>
      </c>
      <c r="D111" s="37">
        <v>108000</v>
      </c>
      <c r="E111" s="37">
        <v>114770</v>
      </c>
      <c r="F111" s="36">
        <f t="shared" si="13"/>
        <v>51.92307692307692</v>
      </c>
      <c r="G111" s="36">
        <f t="shared" si="14"/>
        <v>55.177884615384613</v>
      </c>
    </row>
    <row r="112" spans="3:9" outlineLevel="1" x14ac:dyDescent="0.25">
      <c r="C112" s="20" t="s">
        <v>215</v>
      </c>
      <c r="D112" s="37">
        <v>105000</v>
      </c>
      <c r="E112" s="37">
        <v>116310</v>
      </c>
      <c r="F112" s="36">
        <f t="shared" si="13"/>
        <v>50.480769230769234</v>
      </c>
      <c r="G112" s="36">
        <f t="shared" si="14"/>
        <v>55.918269230769234</v>
      </c>
    </row>
    <row r="113" spans="2:9" outlineLevel="1" x14ac:dyDescent="0.25">
      <c r="C113" s="20" t="s">
        <v>147</v>
      </c>
      <c r="D113" s="37">
        <v>66329</v>
      </c>
      <c r="E113" s="37">
        <v>89014</v>
      </c>
      <c r="F113" s="36">
        <f t="shared" si="13"/>
        <v>31.888942307692307</v>
      </c>
      <c r="G113" s="36">
        <f t="shared" si="14"/>
        <v>42.795192307692311</v>
      </c>
    </row>
    <row r="114" spans="2:9" outlineLevel="1" x14ac:dyDescent="0.25">
      <c r="C114" s="20" t="s">
        <v>216</v>
      </c>
      <c r="D114" s="37">
        <v>50400</v>
      </c>
      <c r="E114" s="37">
        <v>56512</v>
      </c>
      <c r="F114" s="36">
        <f t="shared" si="13"/>
        <v>24.23076923076923</v>
      </c>
      <c r="G114" s="36">
        <f t="shared" si="14"/>
        <v>27.169230769230769</v>
      </c>
    </row>
    <row r="115" spans="2:9" outlineLevel="1" x14ac:dyDescent="0.25">
      <c r="C115" s="20" t="s">
        <v>217</v>
      </c>
      <c r="D115" s="37">
        <v>35462</v>
      </c>
      <c r="E115" s="37">
        <v>90359.856840321896</v>
      </c>
      <c r="F115" s="36">
        <f t="shared" si="13"/>
        <v>17.049038461538462</v>
      </c>
      <c r="G115" s="36">
        <f>IFERROR(E115/2080,0)</f>
        <v>43.442238865539373</v>
      </c>
    </row>
    <row r="116" spans="2:9" outlineLevel="1" x14ac:dyDescent="0.25"/>
    <row r="117" spans="2:9" outlineLevel="1" x14ac:dyDescent="0.25">
      <c r="B117" s="106" t="s">
        <v>218</v>
      </c>
      <c r="C117" s="107"/>
      <c r="D117" s="108"/>
      <c r="E117" s="108"/>
      <c r="F117" s="108"/>
      <c r="G117" s="109"/>
    </row>
    <row r="118" spans="2:9" ht="45" outlineLevel="1" x14ac:dyDescent="0.25">
      <c r="B118" s="446" t="s">
        <v>157</v>
      </c>
      <c r="C118" s="446"/>
      <c r="D118" s="81" t="s">
        <v>219</v>
      </c>
      <c r="E118" s="408" t="s">
        <v>220</v>
      </c>
      <c r="F118" s="85" t="s">
        <v>221</v>
      </c>
      <c r="G118" s="85" t="s">
        <v>222</v>
      </c>
      <c r="I118" s="17" t="s">
        <v>223</v>
      </c>
    </row>
    <row r="119" spans="2:9" outlineLevel="1" x14ac:dyDescent="0.25">
      <c r="B119" s="70" t="s">
        <v>161</v>
      </c>
      <c r="C119" s="20"/>
      <c r="D119" s="20"/>
      <c r="E119" s="82"/>
      <c r="F119" s="83"/>
      <c r="G119" s="83"/>
      <c r="I119" s="16" t="s">
        <v>224</v>
      </c>
    </row>
    <row r="120" spans="2:9" outlineLevel="1" x14ac:dyDescent="0.25">
      <c r="B120" s="20"/>
      <c r="C120" s="20" t="s">
        <v>225</v>
      </c>
      <c r="D120" s="123">
        <v>41535.550842105258</v>
      </c>
      <c r="E120" s="390">
        <v>57</v>
      </c>
      <c r="F120" s="391"/>
      <c r="G120" s="392">
        <f>(D120-$D$130)/$D$130</f>
        <v>-0.12114139485975615</v>
      </c>
      <c r="I120" s="16" t="s">
        <v>226</v>
      </c>
    </row>
    <row r="121" spans="2:9" outlineLevel="1" x14ac:dyDescent="0.25">
      <c r="B121" s="70" t="s">
        <v>227</v>
      </c>
      <c r="C121" s="20"/>
      <c r="D121" s="123"/>
      <c r="E121" s="390"/>
      <c r="F121" s="391"/>
      <c r="G121" s="392"/>
      <c r="I121" s="16" t="s">
        <v>228</v>
      </c>
    </row>
    <row r="122" spans="2:9" outlineLevel="1" x14ac:dyDescent="0.25">
      <c r="B122" s="20"/>
      <c r="C122" s="20" t="s">
        <v>229</v>
      </c>
      <c r="D122" s="123">
        <v>104346.11125</v>
      </c>
      <c r="E122" s="390">
        <v>8</v>
      </c>
      <c r="F122" s="392">
        <f>E122/SUM(E122:E124)</f>
        <v>0.16666666666666666</v>
      </c>
      <c r="G122" s="392">
        <f>(D122-$D$130)/$D$130</f>
        <v>1.2078791764095347</v>
      </c>
      <c r="I122" s="16" t="s">
        <v>230</v>
      </c>
    </row>
    <row r="123" spans="2:9" outlineLevel="1" x14ac:dyDescent="0.25">
      <c r="B123" s="20"/>
      <c r="C123" s="20" t="s">
        <v>231</v>
      </c>
      <c r="D123" s="123">
        <v>65024.123448275866</v>
      </c>
      <c r="E123" s="390">
        <v>29</v>
      </c>
      <c r="F123" s="392">
        <f>E123/SUM(E122:E124)</f>
        <v>0.60416666666666663</v>
      </c>
      <c r="G123" s="392">
        <f>(D123-$D$130)/$D$130</f>
        <v>0.37585777185090091</v>
      </c>
    </row>
    <row r="124" spans="2:9" outlineLevel="1" x14ac:dyDescent="0.25">
      <c r="B124" s="20"/>
      <c r="C124" s="20" t="s">
        <v>232</v>
      </c>
      <c r="D124" s="123">
        <v>66199.314545454545</v>
      </c>
      <c r="E124" s="390">
        <v>11</v>
      </c>
      <c r="F124" s="392">
        <f>E124/SUM(E122:E124)</f>
        <v>0.22916666666666666</v>
      </c>
      <c r="G124" s="392">
        <f>(D124-$D$130)/$D$130</f>
        <v>0.40072386336768157</v>
      </c>
    </row>
    <row r="125" spans="2:9" outlineLevel="1" x14ac:dyDescent="0.25">
      <c r="B125" s="20"/>
      <c r="C125" s="84" t="s">
        <v>233</v>
      </c>
      <c r="D125" s="148">
        <f>SUMPRODUCT(D122:D124,F122:F124)/SUM(F122:F124)</f>
        <v>71847.102708333347</v>
      </c>
      <c r="E125" s="390"/>
      <c r="F125" s="391"/>
      <c r="G125" s="392">
        <f>(D125-$D$130)/$D$130</f>
        <v>0.52022648524993564</v>
      </c>
    </row>
    <row r="126" spans="2:9" outlineLevel="1" x14ac:dyDescent="0.25">
      <c r="B126" s="70" t="s">
        <v>234</v>
      </c>
      <c r="C126" s="20"/>
      <c r="D126" s="123"/>
      <c r="E126" s="390"/>
      <c r="F126" s="391"/>
      <c r="G126" s="392"/>
    </row>
    <row r="127" spans="2:9" outlineLevel="1" x14ac:dyDescent="0.25">
      <c r="B127" s="20"/>
      <c r="C127" s="20" t="s">
        <v>235</v>
      </c>
      <c r="D127" s="123">
        <v>25862.577777777777</v>
      </c>
      <c r="E127" s="390">
        <v>9</v>
      </c>
      <c r="F127" s="392">
        <f>E127/SUM(E$127:E$129)</f>
        <v>1.7612524461839529E-2</v>
      </c>
      <c r="G127" s="392">
        <f t="shared" ref="G127:G133" si="15">(D127-$D$130)/$D$130</f>
        <v>-0.45276880719570151</v>
      </c>
    </row>
    <row r="128" spans="2:9" outlineLevel="1" x14ac:dyDescent="0.25">
      <c r="B128" s="20"/>
      <c r="C128" s="20" t="s">
        <v>162</v>
      </c>
      <c r="D128" s="123">
        <v>47682.644825461983</v>
      </c>
      <c r="E128" s="390">
        <v>487</v>
      </c>
      <c r="F128" s="392">
        <f>E128/SUM(E$127:E$129)</f>
        <v>0.95303326810176126</v>
      </c>
      <c r="G128" s="392">
        <f t="shared" si="15"/>
        <v>8.9261336633602271E-3</v>
      </c>
    </row>
    <row r="129" spans="2:7" outlineLevel="1" x14ac:dyDescent="0.25">
      <c r="B129" s="20"/>
      <c r="C129" s="20" t="s">
        <v>236</v>
      </c>
      <c r="D129" s="123">
        <v>46403.453333333338</v>
      </c>
      <c r="E129" s="390">
        <v>15</v>
      </c>
      <c r="F129" s="392">
        <f>E129/SUM(E$127:E$129)</f>
        <v>2.9354207436399216E-2</v>
      </c>
      <c r="G129" s="392">
        <f t="shared" si="15"/>
        <v>-1.8140521953008752E-2</v>
      </c>
    </row>
    <row r="130" spans="2:7" outlineLevel="1" x14ac:dyDescent="0.25">
      <c r="B130" s="20"/>
      <c r="C130" s="84" t="s">
        <v>237</v>
      </c>
      <c r="D130" s="149">
        <f>SUMPRODUCT(D127:D129,F127:F129)/SUM(F127:F129)</f>
        <v>47260.788708414846</v>
      </c>
      <c r="E130" s="390"/>
      <c r="F130" s="391"/>
      <c r="G130" s="392">
        <f t="shared" si="15"/>
        <v>0</v>
      </c>
    </row>
    <row r="131" spans="2:7" outlineLevel="1" x14ac:dyDescent="0.25">
      <c r="B131" s="20"/>
      <c r="C131" s="20" t="s">
        <v>238</v>
      </c>
      <c r="D131" s="123">
        <v>59909.369142857126</v>
      </c>
      <c r="E131" s="390">
        <v>35</v>
      </c>
      <c r="F131" s="391"/>
      <c r="G131" s="392">
        <f t="shared" si="15"/>
        <v>0.26763371454675244</v>
      </c>
    </row>
    <row r="132" spans="2:7" outlineLevel="1" x14ac:dyDescent="0.25">
      <c r="B132" s="20"/>
      <c r="C132" s="20" t="s">
        <v>239</v>
      </c>
      <c r="D132" s="123">
        <v>36752.650555555556</v>
      </c>
      <c r="E132" s="390">
        <v>18</v>
      </c>
      <c r="F132" s="391"/>
      <c r="G132" s="392">
        <f t="shared" si="15"/>
        <v>-0.22234368998137991</v>
      </c>
    </row>
    <row r="133" spans="2:7" outlineLevel="1" x14ac:dyDescent="0.25">
      <c r="B133" s="20"/>
      <c r="C133" s="20" t="s">
        <v>164</v>
      </c>
      <c r="D133" s="123">
        <v>31559.061818181817</v>
      </c>
      <c r="E133" s="390">
        <v>11</v>
      </c>
      <c r="F133" s="391"/>
      <c r="G133" s="392">
        <f t="shared" si="15"/>
        <v>-0.33223581999674323</v>
      </c>
    </row>
    <row r="134" spans="2:7" outlineLevel="1" x14ac:dyDescent="0.25">
      <c r="B134" s="70" t="s">
        <v>240</v>
      </c>
      <c r="C134" s="20"/>
      <c r="D134" s="123"/>
      <c r="E134" s="390"/>
      <c r="F134" s="391"/>
      <c r="G134" s="392"/>
    </row>
    <row r="135" spans="2:7" outlineLevel="1" x14ac:dyDescent="0.25">
      <c r="B135" s="20"/>
      <c r="C135" s="20" t="s">
        <v>160</v>
      </c>
      <c r="D135" s="123">
        <v>42256.56615384615</v>
      </c>
      <c r="E135" s="390">
        <v>13</v>
      </c>
      <c r="F135" s="391"/>
      <c r="G135" s="392">
        <f>(D135-$D$130)/$D$130</f>
        <v>-0.10588529500519503</v>
      </c>
    </row>
    <row r="136" spans="2:7" outlineLevel="1" x14ac:dyDescent="0.25">
      <c r="B136" s="20"/>
      <c r="C136" s="20" t="s">
        <v>241</v>
      </c>
      <c r="D136" s="123">
        <v>94261.774278114914</v>
      </c>
      <c r="E136" s="390">
        <v>26</v>
      </c>
      <c r="F136" s="391"/>
      <c r="G136" s="392">
        <f>(D136-$D$130)/$D$130</f>
        <v>0.99450277606838755</v>
      </c>
    </row>
    <row r="137" spans="2:7" outlineLevel="1" x14ac:dyDescent="0.25">
      <c r="B137" s="20"/>
      <c r="C137" s="20" t="s">
        <v>166</v>
      </c>
      <c r="D137" s="37">
        <v>185255.32377259669</v>
      </c>
      <c r="E137" s="391">
        <v>24</v>
      </c>
      <c r="F137" s="391"/>
      <c r="G137" s="392">
        <f>(D137-$D$130)/$D$130</f>
        <v>2.9198525635187238</v>
      </c>
    </row>
    <row r="138" spans="2:7" outlineLevel="1" x14ac:dyDescent="0.25">
      <c r="B138" s="20"/>
      <c r="C138" s="20" t="s">
        <v>242</v>
      </c>
      <c r="D138" s="123">
        <v>87237.626142857145</v>
      </c>
      <c r="E138" s="390">
        <v>14</v>
      </c>
      <c r="F138" s="391"/>
      <c r="G138" s="392">
        <f>(D138-$D$130)/$D$130</f>
        <v>0.84587749225023767</v>
      </c>
    </row>
    <row r="139" spans="2:7" outlineLevel="1" x14ac:dyDescent="0.25">
      <c r="B139" s="70" t="s">
        <v>243</v>
      </c>
      <c r="C139" s="70"/>
      <c r="D139" s="70"/>
      <c r="E139" s="393">
        <v>717</v>
      </c>
      <c r="F139" s="391"/>
      <c r="G139" s="391"/>
    </row>
    <row r="140" spans="2:7" outlineLevel="1" x14ac:dyDescent="0.25"/>
  </sheetData>
  <sheetProtection sheet="1"/>
  <mergeCells count="1">
    <mergeCell ref="B118:C118"/>
  </mergeCells>
  <dataValidations count="3">
    <dataValidation type="list" allowBlank="1" showInputMessage="1" showErrorMessage="1" sqref="C9" xr:uid="{72FCBE97-BEDF-4BA9-9B59-50132CD9FD99}">
      <formula1>"1 Adult,2 Adults (1 Working),2 Adults (Both Working)"</formula1>
    </dataValidation>
    <dataValidation type="list" allowBlank="1" showInputMessage="1" showErrorMessage="1" sqref="C10" xr:uid="{ED4D131E-FCDC-4B14-BA58-8101DC71458C}">
      <formula1>"0 children,1 child,2 children,3 children"</formula1>
    </dataValidation>
    <dataValidation type="list" allowBlank="1" showInputMessage="1" showErrorMessage="1" sqref="C8" xr:uid="{C3E765FC-4488-46F3-980C-F2BE4AD9D047}">
      <formula1>"BLS Differentiated,Education Level,Custom,Living Wage"</formula1>
    </dataValidation>
  </dataValidations>
  <hyperlinks>
    <hyperlink ref="C74" r:id="rId1" display="2024 Living Wage Calcualtion for Illinois" xr:uid="{8C20F7AD-CDB4-4F18-9D94-CD9DFEC4D0C0}"/>
  </hyperlinks>
  <pageMargins left="0.7" right="0.7" top="0.75" bottom="0.75" header="0.3" footer="0.3"/>
  <pageSetup orientation="portrait" horizontalDpi="1200" verticalDpi="120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4E43F7-0C61-4EFF-AAFE-528742E2766E}">
  <sheetPr>
    <tabColor theme="5" tint="0.79998168889431442"/>
  </sheetPr>
  <dimension ref="A1"/>
  <sheetViews>
    <sheetView showGridLines="0" workbookViewId="0">
      <selection activeCell="A2" sqref="A2"/>
    </sheetView>
  </sheetViews>
  <sheetFormatPr defaultRowHeight="15" x14ac:dyDescent="0.25"/>
  <sheetData>
    <row r="1" spans="1:1" x14ac:dyDescent="0.25">
      <c r="A1" t="s">
        <v>244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1915B-8771-4E83-A4E3-856C12BB3CC6}">
  <sheetPr>
    <tabColor theme="5" tint="0.79998168889431442"/>
  </sheetPr>
  <dimension ref="B1:M47"/>
  <sheetViews>
    <sheetView showGridLines="0" zoomScaleNormal="100" workbookViewId="0">
      <pane xSplit="4" ySplit="5" topLeftCell="E6" activePane="bottomRight" state="frozen"/>
      <selection pane="topRight" activeCell="A2" sqref="A2"/>
      <selection pane="bottomLeft" activeCell="A2" sqref="A2"/>
      <selection pane="bottomRight" activeCell="F29" sqref="F29"/>
    </sheetView>
  </sheetViews>
  <sheetFormatPr defaultColWidth="15.5703125" defaultRowHeight="15" x14ac:dyDescent="0.25"/>
  <cols>
    <col min="1" max="2" width="2.5703125" customWidth="1"/>
    <col min="3" max="3" width="42.85546875" customWidth="1"/>
    <col min="4" max="4" width="18.140625" style="5" customWidth="1"/>
    <col min="5" max="11" width="15.7109375" customWidth="1"/>
    <col min="13" max="13" width="15.7109375" customWidth="1"/>
  </cols>
  <sheetData>
    <row r="1" spans="2:13" ht="15.75" x14ac:dyDescent="0.25">
      <c r="B1" s="6" t="s">
        <v>25</v>
      </c>
    </row>
    <row r="2" spans="2:13" ht="15.75" x14ac:dyDescent="0.25">
      <c r="B2" s="7" t="s">
        <v>245</v>
      </c>
    </row>
    <row r="3" spans="2:13" ht="15.75" x14ac:dyDescent="0.25">
      <c r="B3" s="8" t="s">
        <v>27</v>
      </c>
    </row>
    <row r="4" spans="2:13" ht="45" x14ac:dyDescent="0.25">
      <c r="D4"/>
      <c r="E4" s="27" t="str">
        <f>'Wage Assumptions'!$C$14</f>
        <v>Audiologist</v>
      </c>
      <c r="F4" s="27" t="str">
        <f>'Wage Assumptions'!$C$15</f>
        <v>Developmental Therapist</v>
      </c>
      <c r="G4" s="27" t="str">
        <f>'Wage Assumptions'!$C$16</f>
        <v>Occupational Therapist</v>
      </c>
      <c r="H4" s="27" t="str">
        <f>'Wage Assumptions'!$C$17</f>
        <v>Physical Therapist</v>
      </c>
      <c r="I4" s="27" t="str">
        <f>'Wage Assumptions'!$C$18</f>
        <v>Psychologist</v>
      </c>
      <c r="J4" s="27" t="str">
        <f>'Wage Assumptions'!$C$19</f>
        <v>Social Worker</v>
      </c>
      <c r="K4" s="27" t="str">
        <f>'Wage Assumptions'!$C$20</f>
        <v>Speech Language Pathologist</v>
      </c>
      <c r="L4" s="27" t="s">
        <v>58</v>
      </c>
      <c r="M4" s="27" t="str">
        <f>'Wage Assumptions'!$C$22</f>
        <v>Interpreter / Translator</v>
      </c>
    </row>
    <row r="5" spans="2:13" s="10" customFormat="1" x14ac:dyDescent="0.25">
      <c r="B5" s="10" t="s">
        <v>246</v>
      </c>
      <c r="D5" s="47" t="s">
        <v>247</v>
      </c>
      <c r="E5" s="48" t="s">
        <v>248</v>
      </c>
      <c r="F5" s="43"/>
      <c r="G5" s="43"/>
      <c r="H5" s="43"/>
      <c r="I5" s="43"/>
      <c r="J5" s="43"/>
      <c r="K5" s="43"/>
      <c r="M5" s="43"/>
    </row>
    <row r="6" spans="2:13" x14ac:dyDescent="0.25">
      <c r="D6"/>
    </row>
    <row r="7" spans="2:13" x14ac:dyDescent="0.25">
      <c r="C7" t="s">
        <v>249</v>
      </c>
      <c r="D7" s="141">
        <v>2080</v>
      </c>
    </row>
    <row r="8" spans="2:13" x14ac:dyDescent="0.25">
      <c r="D8"/>
    </row>
    <row r="9" spans="2:13" x14ac:dyDescent="0.25">
      <c r="B9" s="3" t="s">
        <v>250</v>
      </c>
      <c r="D9" s="44"/>
      <c r="E9" s="45"/>
      <c r="F9" s="46"/>
      <c r="G9" s="46"/>
      <c r="H9" s="46"/>
      <c r="I9" s="46"/>
      <c r="J9" s="46"/>
      <c r="K9" s="46"/>
      <c r="M9" s="46"/>
    </row>
    <row r="10" spans="2:13" x14ac:dyDescent="0.25">
      <c r="C10" t="s">
        <v>251</v>
      </c>
      <c r="D10" s="38" t="str">
        <f>'Wage Assumptions'!$C$8</f>
        <v>BLS Differentiated</v>
      </c>
      <c r="E10" s="9">
        <f>INDEX('Wage Assumptions'!$C$14:$G$22,MATCH(E$4,'Wage Assumptions'!$C$14:$C$22,0),MATCH($D$10,'Wage Assumptions'!$C$13:$G$13,0))</f>
        <v>42.97</v>
      </c>
      <c r="F10" s="9">
        <f>INDEX('Wage Assumptions'!$C$14:$G$22,MATCH(F$4,'Wage Assumptions'!$C$14:$C$22,0),MATCH($D$10,'Wage Assumptions'!$C$13:$G$13,0))</f>
        <v>36.365384615384613</v>
      </c>
      <c r="G10" s="9">
        <f>INDEX('Wage Assumptions'!$C$14:$G$22,MATCH(G$4,'Wage Assumptions'!$C$14:$C$22,0),MATCH($D$10,'Wage Assumptions'!$C$13:$G$13,0))</f>
        <v>46.23</v>
      </c>
      <c r="H10" s="9">
        <f>INDEX('Wage Assumptions'!$C$14:$G$22,MATCH(H$4,'Wage Assumptions'!$C$14:$C$22,0),MATCH($D$10,'Wage Assumptions'!$C$13:$G$13,0))</f>
        <v>50.31</v>
      </c>
      <c r="I10" s="9">
        <f>INDEX('Wage Assumptions'!$C$14:$G$22,MATCH(I$4,'Wage Assumptions'!$C$14:$C$22,0),MATCH($D$10,'Wage Assumptions'!$C$13:$G$13,0))</f>
        <v>53.51</v>
      </c>
      <c r="J10" s="9">
        <f>INDEX('Wage Assumptions'!$C$14:$G$22,MATCH(J$4,'Wage Assumptions'!$C$14:$C$22,0),MATCH($D$10,'Wage Assumptions'!$C$13:$G$13,0))</f>
        <v>30.57</v>
      </c>
      <c r="K10" s="9">
        <f>INDEX('Wage Assumptions'!$C$14:$G$22,MATCH(K$4,'Wage Assumptions'!$C$14:$C$22,0),MATCH($D$10,'Wage Assumptions'!$C$13:$G$13,0))</f>
        <v>42.27</v>
      </c>
      <c r="L10" s="18">
        <f>INDEX('Wage Assumptions'!$C$14:$G$22,MATCH($L$4,'Wage Assumptions'!$C$14:$C$22,0),MATCH($D$10,'Wage Assumptions'!$C$13:$G$13,0))</f>
        <v>30.95</v>
      </c>
      <c r="M10" s="9">
        <f>INDEX('Wage Assumptions'!$C$14:$G$22,MATCH(M$4,'Wage Assumptions'!$C$14:$C$22,0),MATCH($D$10,'Wage Assumptions'!$C$13:$G$13,0))</f>
        <v>26.5</v>
      </c>
    </row>
    <row r="11" spans="2:13" x14ac:dyDescent="0.25">
      <c r="C11" t="s">
        <v>252</v>
      </c>
      <c r="D11" s="142">
        <v>0.153</v>
      </c>
      <c r="E11" s="9">
        <f>$D11*E$10</f>
        <v>6.5744099999999994</v>
      </c>
      <c r="F11" s="9">
        <f>$D11*F10</f>
        <v>5.5639038461538455</v>
      </c>
      <c r="G11" s="9">
        <f t="shared" ref="G11:L11" si="0">$D11*G10</f>
        <v>7.0731899999999994</v>
      </c>
      <c r="H11" s="9">
        <f t="shared" si="0"/>
        <v>7.6974299999999998</v>
      </c>
      <c r="I11" s="9">
        <f>$D11*I10</f>
        <v>8.18703</v>
      </c>
      <c r="J11" s="9">
        <f t="shared" si="0"/>
        <v>4.6772099999999996</v>
      </c>
      <c r="K11" s="9">
        <f>$D11*K10</f>
        <v>6.4673100000000003</v>
      </c>
      <c r="L11" s="9">
        <f t="shared" si="0"/>
        <v>4.7353499999999995</v>
      </c>
      <c r="M11" s="9">
        <f>$D11*M10</f>
        <v>4.0545</v>
      </c>
    </row>
    <row r="12" spans="2:13" x14ac:dyDescent="0.25">
      <c r="C12" t="s">
        <v>253</v>
      </c>
      <c r="D12" s="418">
        <f>6733</f>
        <v>6733</v>
      </c>
      <c r="E12" s="18">
        <f t="shared" ref="E12:M12" si="1">$D12/$D$7</f>
        <v>3.2370192307692309</v>
      </c>
      <c r="F12" s="18">
        <f t="shared" si="1"/>
        <v>3.2370192307692309</v>
      </c>
      <c r="G12" s="18">
        <f t="shared" si="1"/>
        <v>3.2370192307692309</v>
      </c>
      <c r="H12" s="18">
        <f t="shared" si="1"/>
        <v>3.2370192307692309</v>
      </c>
      <c r="I12" s="18">
        <f t="shared" si="1"/>
        <v>3.2370192307692309</v>
      </c>
      <c r="J12" s="18">
        <f t="shared" si="1"/>
        <v>3.2370192307692309</v>
      </c>
      <c r="K12" s="18">
        <f t="shared" si="1"/>
        <v>3.2370192307692309</v>
      </c>
      <c r="L12" s="18">
        <f t="shared" si="1"/>
        <v>3.2370192307692309</v>
      </c>
      <c r="M12" s="18">
        <f t="shared" si="1"/>
        <v>3.2370192307692309</v>
      </c>
    </row>
    <row r="13" spans="2:13" x14ac:dyDescent="0.25">
      <c r="C13" t="s">
        <v>254</v>
      </c>
      <c r="D13" s="419">
        <v>0.04</v>
      </c>
      <c r="E13" s="18">
        <f t="shared" ref="E13:M13" si="2">$D13*E$10</f>
        <v>1.7187999999999999</v>
      </c>
      <c r="F13" s="18">
        <f t="shared" si="2"/>
        <v>1.4546153846153846</v>
      </c>
      <c r="G13" s="18">
        <f t="shared" si="2"/>
        <v>1.8492</v>
      </c>
      <c r="H13" s="18">
        <f t="shared" si="2"/>
        <v>2.0124</v>
      </c>
      <c r="I13" s="18">
        <f t="shared" si="2"/>
        <v>2.1404000000000001</v>
      </c>
      <c r="J13" s="18">
        <f t="shared" si="2"/>
        <v>1.2228000000000001</v>
      </c>
      <c r="K13" s="18">
        <f t="shared" si="2"/>
        <v>1.6908000000000001</v>
      </c>
      <c r="L13" s="18">
        <f t="shared" si="2"/>
        <v>1.238</v>
      </c>
      <c r="M13" s="18">
        <f t="shared" si="2"/>
        <v>1.06</v>
      </c>
    </row>
    <row r="14" spans="2:13" s="3" customFormat="1" x14ac:dyDescent="0.25">
      <c r="C14" s="24" t="s">
        <v>255</v>
      </c>
      <c r="D14" s="25"/>
      <c r="E14" s="42">
        <f>SUM(E10:E13)</f>
        <v>54.500229230769229</v>
      </c>
      <c r="F14" s="42">
        <f t="shared" ref="F14:L14" si="3">SUM(F10:F13)</f>
        <v>46.620923076923077</v>
      </c>
      <c r="G14" s="42">
        <f t="shared" si="3"/>
        <v>58.389409230769225</v>
      </c>
      <c r="H14" s="42">
        <f t="shared" si="3"/>
        <v>63.256849230769227</v>
      </c>
      <c r="I14" s="42">
        <f t="shared" si="3"/>
        <v>67.074449230769233</v>
      </c>
      <c r="J14" s="42">
        <f t="shared" si="3"/>
        <v>39.70702923076923</v>
      </c>
      <c r="K14" s="42">
        <f t="shared" si="3"/>
        <v>53.665129230769232</v>
      </c>
      <c r="L14" s="42">
        <f t="shared" si="3"/>
        <v>40.160369230769227</v>
      </c>
      <c r="M14" s="42">
        <f>SUM(M10:M13)</f>
        <v>34.851519230769235</v>
      </c>
    </row>
    <row r="16" spans="2:13" x14ac:dyDescent="0.25">
      <c r="B16" s="3" t="s">
        <v>256</v>
      </c>
      <c r="D16" s="143"/>
      <c r="E16" s="45"/>
      <c r="F16" s="46"/>
      <c r="G16" s="46"/>
      <c r="H16" s="46"/>
      <c r="I16" s="46"/>
      <c r="J16" s="46"/>
      <c r="K16" s="46"/>
      <c r="M16" s="46"/>
    </row>
    <row r="17" spans="2:13" x14ac:dyDescent="0.25">
      <c r="C17" t="s">
        <v>257</v>
      </c>
      <c r="D17" s="118">
        <v>3000</v>
      </c>
      <c r="E17" s="18">
        <f>$D17/$D$7</f>
        <v>1.4423076923076923</v>
      </c>
      <c r="F17" s="18">
        <f t="shared" ref="E17:M26" si="4">$D17/$D$7</f>
        <v>1.4423076923076923</v>
      </c>
      <c r="G17" s="18">
        <f t="shared" si="4"/>
        <v>1.4423076923076923</v>
      </c>
      <c r="H17" s="18">
        <f t="shared" si="4"/>
        <v>1.4423076923076923</v>
      </c>
      <c r="I17" s="18">
        <f t="shared" si="4"/>
        <v>1.4423076923076923</v>
      </c>
      <c r="J17" s="18">
        <f t="shared" si="4"/>
        <v>1.4423076923076923</v>
      </c>
      <c r="K17" s="18">
        <f t="shared" si="4"/>
        <v>1.4423076923076923</v>
      </c>
      <c r="L17" s="18">
        <f t="shared" si="4"/>
        <v>1.4423076923076923</v>
      </c>
      <c r="M17" s="18">
        <f t="shared" si="4"/>
        <v>1.4423076923076923</v>
      </c>
    </row>
    <row r="18" spans="2:13" x14ac:dyDescent="0.25">
      <c r="C18" t="s">
        <v>258</v>
      </c>
      <c r="D18" s="118">
        <v>2407.5471698113197</v>
      </c>
      <c r="E18" s="18">
        <f t="shared" si="4"/>
        <v>1.1574746008708268</v>
      </c>
      <c r="F18" s="18">
        <f t="shared" si="4"/>
        <v>1.1574746008708268</v>
      </c>
      <c r="G18" s="18">
        <f t="shared" si="4"/>
        <v>1.1574746008708268</v>
      </c>
      <c r="H18" s="18">
        <f t="shared" si="4"/>
        <v>1.1574746008708268</v>
      </c>
      <c r="I18" s="18">
        <f t="shared" si="4"/>
        <v>1.1574746008708268</v>
      </c>
      <c r="J18" s="18">
        <f t="shared" si="4"/>
        <v>1.1574746008708268</v>
      </c>
      <c r="K18" s="18">
        <f t="shared" si="4"/>
        <v>1.1574746008708268</v>
      </c>
      <c r="L18" s="18">
        <f t="shared" si="4"/>
        <v>1.1574746008708268</v>
      </c>
      <c r="M18" s="18">
        <f t="shared" si="4"/>
        <v>1.1574746008708268</v>
      </c>
    </row>
    <row r="19" spans="2:13" x14ac:dyDescent="0.25">
      <c r="C19" t="s">
        <v>259</v>
      </c>
      <c r="D19" s="118">
        <v>5000</v>
      </c>
      <c r="E19" s="18">
        <f t="shared" si="4"/>
        <v>2.4038461538461537</v>
      </c>
      <c r="F19" s="18">
        <f t="shared" si="4"/>
        <v>2.4038461538461537</v>
      </c>
      <c r="G19" s="18">
        <f t="shared" si="4"/>
        <v>2.4038461538461537</v>
      </c>
      <c r="H19" s="18">
        <f t="shared" si="4"/>
        <v>2.4038461538461537</v>
      </c>
      <c r="I19" s="18">
        <f t="shared" si="4"/>
        <v>2.4038461538461537</v>
      </c>
      <c r="J19" s="18">
        <f t="shared" si="4"/>
        <v>2.4038461538461537</v>
      </c>
      <c r="K19" s="18">
        <f t="shared" si="4"/>
        <v>2.4038461538461537</v>
      </c>
      <c r="L19" s="18">
        <f t="shared" si="4"/>
        <v>2.4038461538461537</v>
      </c>
      <c r="M19" s="18">
        <f t="shared" si="4"/>
        <v>2.4038461538461537</v>
      </c>
    </row>
    <row r="20" spans="2:13" x14ac:dyDescent="0.25">
      <c r="C20" t="s">
        <v>260</v>
      </c>
      <c r="D20" s="118">
        <v>1100</v>
      </c>
      <c r="E20" s="18">
        <f t="shared" si="4"/>
        <v>0.52884615384615385</v>
      </c>
      <c r="F20" s="18">
        <f t="shared" si="4"/>
        <v>0.52884615384615385</v>
      </c>
      <c r="G20" s="18">
        <f t="shared" si="4"/>
        <v>0.52884615384615385</v>
      </c>
      <c r="H20" s="18">
        <f t="shared" si="4"/>
        <v>0.52884615384615385</v>
      </c>
      <c r="I20" s="18">
        <f t="shared" si="4"/>
        <v>0.52884615384615385</v>
      </c>
      <c r="J20" s="18">
        <f t="shared" si="4"/>
        <v>0.52884615384615385</v>
      </c>
      <c r="K20" s="18">
        <f t="shared" si="4"/>
        <v>0.52884615384615385</v>
      </c>
      <c r="L20" s="18">
        <f t="shared" si="4"/>
        <v>0.52884615384615385</v>
      </c>
      <c r="M20" s="18">
        <f t="shared" si="4"/>
        <v>0.52884615384615385</v>
      </c>
    </row>
    <row r="21" spans="2:13" x14ac:dyDescent="0.25">
      <c r="C21" t="s">
        <v>261</v>
      </c>
      <c r="D21" s="118">
        <v>600</v>
      </c>
      <c r="E21" s="18">
        <f t="shared" si="4"/>
        <v>0.28846153846153844</v>
      </c>
      <c r="F21" s="18">
        <f t="shared" si="4"/>
        <v>0.28846153846153844</v>
      </c>
      <c r="G21" s="18">
        <f t="shared" si="4"/>
        <v>0.28846153846153844</v>
      </c>
      <c r="H21" s="18">
        <f t="shared" si="4"/>
        <v>0.28846153846153844</v>
      </c>
      <c r="I21" s="18">
        <f t="shared" si="4"/>
        <v>0.28846153846153844</v>
      </c>
      <c r="J21" s="18">
        <f t="shared" si="4"/>
        <v>0.28846153846153844</v>
      </c>
      <c r="K21" s="18">
        <f t="shared" si="4"/>
        <v>0.28846153846153844</v>
      </c>
      <c r="L21" s="18">
        <f t="shared" si="4"/>
        <v>0.28846153846153844</v>
      </c>
      <c r="M21" s="18">
        <f t="shared" si="4"/>
        <v>0.28846153846153844</v>
      </c>
    </row>
    <row r="22" spans="2:13" x14ac:dyDescent="0.25">
      <c r="C22" t="s">
        <v>262</v>
      </c>
      <c r="D22" s="118">
        <v>311.11111111111097</v>
      </c>
      <c r="E22" s="18">
        <f t="shared" si="4"/>
        <v>0.14957264957264951</v>
      </c>
      <c r="F22" s="18">
        <f t="shared" si="4"/>
        <v>0.14957264957264951</v>
      </c>
      <c r="G22" s="18">
        <f t="shared" si="4"/>
        <v>0.14957264957264951</v>
      </c>
      <c r="H22" s="18">
        <f t="shared" si="4"/>
        <v>0.14957264957264951</v>
      </c>
      <c r="I22" s="18">
        <f t="shared" si="4"/>
        <v>0.14957264957264951</v>
      </c>
      <c r="J22" s="18">
        <f t="shared" si="4"/>
        <v>0.14957264957264951</v>
      </c>
      <c r="K22" s="18">
        <f t="shared" si="4"/>
        <v>0.14957264957264951</v>
      </c>
      <c r="L22" s="18">
        <f t="shared" si="4"/>
        <v>0.14957264957264951</v>
      </c>
      <c r="M22" s="18">
        <f t="shared" si="4"/>
        <v>0.14957264957264951</v>
      </c>
    </row>
    <row r="23" spans="2:13" x14ac:dyDescent="0.25">
      <c r="C23" t="s">
        <v>263</v>
      </c>
      <c r="D23" s="118">
        <v>1200</v>
      </c>
      <c r="E23" s="18">
        <f t="shared" si="4"/>
        <v>0.57692307692307687</v>
      </c>
      <c r="F23" s="18">
        <f t="shared" si="4"/>
        <v>0.57692307692307687</v>
      </c>
      <c r="G23" s="18">
        <f t="shared" si="4"/>
        <v>0.57692307692307687</v>
      </c>
      <c r="H23" s="18">
        <f t="shared" si="4"/>
        <v>0.57692307692307687</v>
      </c>
      <c r="I23" s="18">
        <f t="shared" si="4"/>
        <v>0.57692307692307687</v>
      </c>
      <c r="J23" s="18">
        <f t="shared" si="4"/>
        <v>0.57692307692307687</v>
      </c>
      <c r="K23" s="18">
        <f t="shared" si="4"/>
        <v>0.57692307692307687</v>
      </c>
      <c r="L23" s="18">
        <f t="shared" si="4"/>
        <v>0.57692307692307687</v>
      </c>
      <c r="M23" s="18">
        <f t="shared" si="4"/>
        <v>0.57692307692307687</v>
      </c>
    </row>
    <row r="24" spans="2:13" x14ac:dyDescent="0.25">
      <c r="C24" t="s">
        <v>264</v>
      </c>
      <c r="D24" s="118">
        <v>360</v>
      </c>
      <c r="E24" s="18">
        <f>$D24/$D$7</f>
        <v>0.17307692307692307</v>
      </c>
      <c r="F24" s="18">
        <f t="shared" si="4"/>
        <v>0.17307692307692307</v>
      </c>
      <c r="G24" s="18">
        <f t="shared" si="4"/>
        <v>0.17307692307692307</v>
      </c>
      <c r="H24" s="18">
        <f t="shared" si="4"/>
        <v>0.17307692307692307</v>
      </c>
      <c r="I24" s="18">
        <f t="shared" si="4"/>
        <v>0.17307692307692307</v>
      </c>
      <c r="J24" s="18">
        <f t="shared" si="4"/>
        <v>0.17307692307692307</v>
      </c>
      <c r="K24" s="18">
        <f t="shared" si="4"/>
        <v>0.17307692307692307</v>
      </c>
      <c r="L24" s="18">
        <f t="shared" si="4"/>
        <v>0.17307692307692307</v>
      </c>
      <c r="M24" s="18">
        <f t="shared" si="4"/>
        <v>0.17307692307692307</v>
      </c>
    </row>
    <row r="25" spans="2:13" x14ac:dyDescent="0.25">
      <c r="C25" t="s">
        <v>265</v>
      </c>
      <c r="D25" s="118">
        <v>325</v>
      </c>
      <c r="E25" s="18">
        <f t="shared" si="4"/>
        <v>0.15625</v>
      </c>
      <c r="F25" s="18">
        <f t="shared" si="4"/>
        <v>0.15625</v>
      </c>
      <c r="G25" s="18">
        <f t="shared" si="4"/>
        <v>0.15625</v>
      </c>
      <c r="H25" s="18">
        <f t="shared" si="4"/>
        <v>0.15625</v>
      </c>
      <c r="I25" s="18">
        <f t="shared" si="4"/>
        <v>0.15625</v>
      </c>
      <c r="J25" s="18">
        <f t="shared" si="4"/>
        <v>0.15625</v>
      </c>
      <c r="K25" s="18">
        <f t="shared" si="4"/>
        <v>0.15625</v>
      </c>
      <c r="L25" s="18">
        <f t="shared" si="4"/>
        <v>0.15625</v>
      </c>
      <c r="M25" s="18">
        <f t="shared" si="4"/>
        <v>0.15625</v>
      </c>
    </row>
    <row r="26" spans="2:13" x14ac:dyDescent="0.25">
      <c r="C26" t="s">
        <v>266</v>
      </c>
      <c r="D26" s="118">
        <v>500</v>
      </c>
      <c r="E26" s="18">
        <f t="shared" si="4"/>
        <v>0.24038461538461539</v>
      </c>
      <c r="F26" s="18">
        <f t="shared" si="4"/>
        <v>0.24038461538461539</v>
      </c>
      <c r="G26" s="18">
        <f t="shared" si="4"/>
        <v>0.24038461538461539</v>
      </c>
      <c r="H26" s="18">
        <f t="shared" si="4"/>
        <v>0.24038461538461539</v>
      </c>
      <c r="I26" s="18">
        <f t="shared" si="4"/>
        <v>0.24038461538461539</v>
      </c>
      <c r="J26" s="18">
        <f t="shared" si="4"/>
        <v>0.24038461538461539</v>
      </c>
      <c r="K26" s="18">
        <f t="shared" si="4"/>
        <v>0.24038461538461539</v>
      </c>
      <c r="L26" s="18">
        <f t="shared" si="4"/>
        <v>0.24038461538461539</v>
      </c>
      <c r="M26" s="18">
        <f t="shared" si="4"/>
        <v>0.24038461538461539</v>
      </c>
    </row>
    <row r="27" spans="2:13" s="3" customFormat="1" x14ac:dyDescent="0.25">
      <c r="C27" s="24" t="s">
        <v>267</v>
      </c>
      <c r="D27" s="25"/>
      <c r="E27" s="42">
        <f t="shared" ref="E27:L27" si="5">SUM(E17:E26)</f>
        <v>7.1171434042896298</v>
      </c>
      <c r="F27" s="42">
        <f t="shared" si="5"/>
        <v>7.1171434042896298</v>
      </c>
      <c r="G27" s="42">
        <f t="shared" si="5"/>
        <v>7.1171434042896298</v>
      </c>
      <c r="H27" s="42">
        <f t="shared" si="5"/>
        <v>7.1171434042896298</v>
      </c>
      <c r="I27" s="42">
        <f t="shared" si="5"/>
        <v>7.1171434042896298</v>
      </c>
      <c r="J27" s="42">
        <f>SUM(J17:J26)</f>
        <v>7.1171434042896298</v>
      </c>
      <c r="K27" s="42">
        <f t="shared" si="5"/>
        <v>7.1171434042896298</v>
      </c>
      <c r="L27" s="42">
        <f t="shared" si="5"/>
        <v>7.1171434042896298</v>
      </c>
      <c r="M27" s="42">
        <f>SUM(M17:M26)</f>
        <v>7.1171434042896298</v>
      </c>
    </row>
    <row r="28" spans="2:13" ht="15.75" thickBot="1" x14ac:dyDescent="0.3">
      <c r="C28" s="14"/>
      <c r="D28" s="15"/>
      <c r="E28" s="14"/>
      <c r="F28" s="14"/>
      <c r="G28" s="14"/>
      <c r="H28" s="14"/>
      <c r="I28" s="14"/>
      <c r="J28" s="14"/>
      <c r="K28" s="14"/>
      <c r="L28" s="14"/>
      <c r="M28" s="14"/>
    </row>
    <row r="29" spans="2:13" s="6" customFormat="1" ht="16.5" thickTop="1" x14ac:dyDescent="0.25">
      <c r="C29" s="39" t="s">
        <v>268</v>
      </c>
      <c r="D29" s="40"/>
      <c r="E29" s="41">
        <f>SUM(E14,E27)</f>
        <v>61.617372635058857</v>
      </c>
      <c r="F29" s="41">
        <f t="shared" ref="F29:L29" si="6">SUM(F14,F27)</f>
        <v>53.738066481212705</v>
      </c>
      <c r="G29" s="41">
        <f t="shared" si="6"/>
        <v>65.506552635058853</v>
      </c>
      <c r="H29" s="41">
        <f t="shared" si="6"/>
        <v>70.373992635058855</v>
      </c>
      <c r="I29" s="41">
        <f t="shared" si="6"/>
        <v>74.191592635058868</v>
      </c>
      <c r="J29" s="41">
        <f t="shared" si="6"/>
        <v>46.824172635058858</v>
      </c>
      <c r="K29" s="41">
        <f t="shared" si="6"/>
        <v>60.78227263505886</v>
      </c>
      <c r="L29" s="41">
        <f t="shared" si="6"/>
        <v>47.277512635058855</v>
      </c>
      <c r="M29" s="41">
        <f>SUM(M14,M27)</f>
        <v>41.968662635058863</v>
      </c>
    </row>
    <row r="30" spans="2:13" x14ac:dyDescent="0.25">
      <c r="C30" s="23"/>
      <c r="E30" s="18"/>
      <c r="F30" s="18"/>
      <c r="G30" s="18"/>
      <c r="H30" s="18"/>
      <c r="I30" s="18"/>
      <c r="J30" s="18"/>
      <c r="K30" s="18"/>
      <c r="M30" s="18"/>
    </row>
    <row r="31" spans="2:13" x14ac:dyDescent="0.25">
      <c r="C31" s="12"/>
    </row>
    <row r="32" spans="2:13" s="11" customFormat="1" x14ac:dyDescent="0.25">
      <c r="B32" s="10" t="s">
        <v>269</v>
      </c>
      <c r="E32" s="28"/>
      <c r="F32" s="28"/>
      <c r="G32" s="28"/>
      <c r="H32" s="28"/>
      <c r="I32" s="28"/>
      <c r="J32" s="28"/>
      <c r="K32" s="28"/>
      <c r="M32" s="28"/>
    </row>
    <row r="34" spans="2:13" x14ac:dyDescent="0.25">
      <c r="B34" s="3" t="s">
        <v>270</v>
      </c>
    </row>
    <row r="35" spans="2:13" x14ac:dyDescent="0.25">
      <c r="C35" t="s">
        <v>271</v>
      </c>
      <c r="E35" s="417">
        <v>0.34</v>
      </c>
      <c r="F35" s="417">
        <v>0.34</v>
      </c>
      <c r="G35" s="417">
        <v>0.34</v>
      </c>
      <c r="H35" s="417">
        <v>0.34</v>
      </c>
      <c r="I35" s="417">
        <v>0.34</v>
      </c>
      <c r="J35" s="417">
        <v>0.34</v>
      </c>
      <c r="K35" s="417">
        <v>0.34</v>
      </c>
      <c r="L35" s="417">
        <v>0.34</v>
      </c>
      <c r="M35" s="417">
        <v>0.47</v>
      </c>
    </row>
    <row r="36" spans="2:13" x14ac:dyDescent="0.25">
      <c r="C36" t="s">
        <v>272</v>
      </c>
      <c r="E36" s="49">
        <f>1-E35</f>
        <v>0.65999999999999992</v>
      </c>
      <c r="F36" s="49">
        <f t="shared" ref="F36:L36" si="7">1-F35</f>
        <v>0.65999999999999992</v>
      </c>
      <c r="G36" s="49">
        <f t="shared" si="7"/>
        <v>0.65999999999999992</v>
      </c>
      <c r="H36" s="49">
        <f t="shared" si="7"/>
        <v>0.65999999999999992</v>
      </c>
      <c r="I36" s="49">
        <f t="shared" si="7"/>
        <v>0.65999999999999992</v>
      </c>
      <c r="J36" s="49">
        <f t="shared" si="7"/>
        <v>0.65999999999999992</v>
      </c>
      <c r="K36" s="49">
        <f t="shared" si="7"/>
        <v>0.65999999999999992</v>
      </c>
      <c r="L36" s="49">
        <f t="shared" si="7"/>
        <v>0.65999999999999992</v>
      </c>
      <c r="M36" s="49">
        <f>1-M35</f>
        <v>0.53</v>
      </c>
    </row>
    <row r="37" spans="2:13" s="6" customFormat="1" ht="15.75" x14ac:dyDescent="0.25">
      <c r="C37" s="50" t="s">
        <v>273</v>
      </c>
      <c r="D37" s="51"/>
      <c r="E37" s="52">
        <f>E$29/E35</f>
        <v>181.22756657370252</v>
      </c>
      <c r="F37" s="52">
        <f t="shared" ref="F37:L37" si="8">F$29/F35</f>
        <v>158.05313670944912</v>
      </c>
      <c r="G37" s="52">
        <f t="shared" si="8"/>
        <v>192.66633127958485</v>
      </c>
      <c r="H37" s="52">
        <f t="shared" si="8"/>
        <v>206.98233127958486</v>
      </c>
      <c r="I37" s="52">
        <f t="shared" si="8"/>
        <v>218.21056657370255</v>
      </c>
      <c r="J37" s="52">
        <f>J$29/J35</f>
        <v>137.71815480899664</v>
      </c>
      <c r="K37" s="52">
        <f t="shared" si="8"/>
        <v>178.77139010311427</v>
      </c>
      <c r="L37" s="52">
        <f t="shared" si="8"/>
        <v>139.0515077501731</v>
      </c>
      <c r="M37" s="52">
        <f>M$29/M35</f>
        <v>89.295026883103972</v>
      </c>
    </row>
    <row r="39" spans="2:13" x14ac:dyDescent="0.25">
      <c r="B39" s="3" t="s">
        <v>274</v>
      </c>
    </row>
    <row r="40" spans="2:13" x14ac:dyDescent="0.25">
      <c r="C40" t="s">
        <v>271</v>
      </c>
      <c r="E40" s="417">
        <v>0.34</v>
      </c>
      <c r="F40" s="417">
        <v>0.34</v>
      </c>
      <c r="G40" s="417">
        <v>0.34</v>
      </c>
      <c r="H40" s="417">
        <v>0.34</v>
      </c>
      <c r="I40" s="417">
        <v>0.34</v>
      </c>
      <c r="J40" s="417">
        <v>0.34</v>
      </c>
      <c r="K40" s="417">
        <v>0.34</v>
      </c>
      <c r="L40" s="417">
        <v>0.34</v>
      </c>
      <c r="M40" s="417">
        <v>0.47</v>
      </c>
    </row>
    <row r="41" spans="2:13" x14ac:dyDescent="0.25">
      <c r="C41" t="s">
        <v>272</v>
      </c>
      <c r="E41" s="49">
        <f t="shared" ref="E41:L41" si="9">1-E40</f>
        <v>0.65999999999999992</v>
      </c>
      <c r="F41" s="49">
        <f t="shared" si="9"/>
        <v>0.65999999999999992</v>
      </c>
      <c r="G41" s="49">
        <f t="shared" si="9"/>
        <v>0.65999999999999992</v>
      </c>
      <c r="H41" s="49">
        <f t="shared" si="9"/>
        <v>0.65999999999999992</v>
      </c>
      <c r="I41" s="49">
        <f t="shared" si="9"/>
        <v>0.65999999999999992</v>
      </c>
      <c r="J41" s="49">
        <f t="shared" si="9"/>
        <v>0.65999999999999992</v>
      </c>
      <c r="K41" s="49">
        <f t="shared" si="9"/>
        <v>0.65999999999999992</v>
      </c>
      <c r="L41" s="49">
        <f t="shared" si="9"/>
        <v>0.65999999999999992</v>
      </c>
      <c r="M41" s="49">
        <f>1-M40</f>
        <v>0.53</v>
      </c>
    </row>
    <row r="42" spans="2:13" s="6" customFormat="1" ht="15.75" x14ac:dyDescent="0.25">
      <c r="C42" s="50" t="s">
        <v>275</v>
      </c>
      <c r="D42" s="51"/>
      <c r="E42" s="52">
        <f>E$29/E40</f>
        <v>181.22756657370252</v>
      </c>
      <c r="F42" s="52">
        <f t="shared" ref="F42:L42" si="10">F$29/F40</f>
        <v>158.05313670944912</v>
      </c>
      <c r="G42" s="52">
        <f t="shared" si="10"/>
        <v>192.66633127958485</v>
      </c>
      <c r="H42" s="52">
        <f t="shared" si="10"/>
        <v>206.98233127958486</v>
      </c>
      <c r="I42" s="52">
        <f t="shared" si="10"/>
        <v>218.21056657370255</v>
      </c>
      <c r="J42" s="52">
        <f>J$29/J40</f>
        <v>137.71815480899664</v>
      </c>
      <c r="K42" s="52">
        <f t="shared" si="10"/>
        <v>178.77139010311427</v>
      </c>
      <c r="L42" s="52">
        <f t="shared" si="10"/>
        <v>139.0515077501731</v>
      </c>
      <c r="M42" s="52">
        <f>M$29/M40</f>
        <v>89.295026883103972</v>
      </c>
    </row>
    <row r="43" spans="2:13" x14ac:dyDescent="0.25">
      <c r="D43"/>
    </row>
    <row r="44" spans="2:13" x14ac:dyDescent="0.25">
      <c r="B44" s="3" t="s">
        <v>276</v>
      </c>
    </row>
    <row r="45" spans="2:13" x14ac:dyDescent="0.25">
      <c r="C45" t="s">
        <v>271</v>
      </c>
      <c r="E45" s="417">
        <v>0.34</v>
      </c>
      <c r="F45" s="417">
        <v>0.34</v>
      </c>
      <c r="G45" s="417">
        <v>0.34</v>
      </c>
      <c r="H45" s="417">
        <v>0.34</v>
      </c>
      <c r="I45" s="417">
        <v>0.34</v>
      </c>
      <c r="J45" s="417">
        <v>0.34</v>
      </c>
      <c r="K45" s="417">
        <v>0.34</v>
      </c>
      <c r="L45" s="417">
        <v>0.34</v>
      </c>
      <c r="M45" s="417">
        <v>0.47</v>
      </c>
    </row>
    <row r="46" spans="2:13" x14ac:dyDescent="0.25">
      <c r="C46" t="s">
        <v>272</v>
      </c>
      <c r="E46" s="49">
        <f t="shared" ref="E46:L46" si="11">1-E45</f>
        <v>0.65999999999999992</v>
      </c>
      <c r="F46" s="49">
        <f t="shared" si="11"/>
        <v>0.65999999999999992</v>
      </c>
      <c r="G46" s="49">
        <f t="shared" si="11"/>
        <v>0.65999999999999992</v>
      </c>
      <c r="H46" s="49">
        <f t="shared" si="11"/>
        <v>0.65999999999999992</v>
      </c>
      <c r="I46" s="49">
        <f t="shared" si="11"/>
        <v>0.65999999999999992</v>
      </c>
      <c r="J46" s="49">
        <f t="shared" si="11"/>
        <v>0.65999999999999992</v>
      </c>
      <c r="K46" s="49">
        <f t="shared" si="11"/>
        <v>0.65999999999999992</v>
      </c>
      <c r="L46" s="49">
        <f t="shared" si="11"/>
        <v>0.65999999999999992</v>
      </c>
      <c r="M46" s="49">
        <f>1-M45</f>
        <v>0.53</v>
      </c>
    </row>
    <row r="47" spans="2:13" s="6" customFormat="1" ht="15.75" x14ac:dyDescent="0.25">
      <c r="C47" s="50" t="s">
        <v>277</v>
      </c>
      <c r="D47" s="51"/>
      <c r="E47" s="52">
        <f t="shared" ref="E47:L47" si="12">E$29/E45</f>
        <v>181.22756657370252</v>
      </c>
      <c r="F47" s="52">
        <f t="shared" si="12"/>
        <v>158.05313670944912</v>
      </c>
      <c r="G47" s="52">
        <f t="shared" si="12"/>
        <v>192.66633127958485</v>
      </c>
      <c r="H47" s="52">
        <f t="shared" si="12"/>
        <v>206.98233127958486</v>
      </c>
      <c r="I47" s="52">
        <f t="shared" si="12"/>
        <v>218.21056657370255</v>
      </c>
      <c r="J47" s="52">
        <f>J$29/J45</f>
        <v>137.71815480899664</v>
      </c>
      <c r="K47" s="52">
        <f t="shared" si="12"/>
        <v>178.77139010311427</v>
      </c>
      <c r="L47" s="52">
        <f t="shared" si="12"/>
        <v>139.0515077501731</v>
      </c>
      <c r="M47" s="52">
        <f>M$29/M45</f>
        <v>89.295026883103972</v>
      </c>
    </row>
  </sheetData>
  <sheetProtection sheet="1"/>
  <hyperlinks>
    <hyperlink ref="D10" location="Wages!A1" display="Wages" xr:uid="{DAEA0EDD-FD02-44A8-9F04-920695F60B21}"/>
  </hyperlink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8DFC47-8B5C-4D9C-B37F-E7C4EE53E21A}">
  <sheetPr>
    <tabColor theme="5" tint="0.79998168889431442"/>
  </sheetPr>
  <dimension ref="B1:P122"/>
  <sheetViews>
    <sheetView showGridLines="0" zoomScaleNormal="100" workbookViewId="0">
      <pane xSplit="5" ySplit="4" topLeftCell="F5" activePane="bottomRight" state="frozen"/>
      <selection pane="topRight" activeCell="A2" sqref="A2"/>
      <selection pane="bottomLeft" activeCell="A2" sqref="A2"/>
      <selection pane="bottomRight" activeCell="K120" sqref="K120"/>
    </sheetView>
  </sheetViews>
  <sheetFormatPr defaultColWidth="17.7109375" defaultRowHeight="15" x14ac:dyDescent="0.25"/>
  <cols>
    <col min="1" max="3" width="2.5703125" customWidth="1"/>
    <col min="4" max="4" width="37.85546875" customWidth="1"/>
    <col min="5" max="5" width="20.7109375" style="5" customWidth="1"/>
  </cols>
  <sheetData>
    <row r="1" spans="2:9" ht="15.75" x14ac:dyDescent="0.25">
      <c r="B1" s="6" t="s">
        <v>25</v>
      </c>
      <c r="C1" s="6"/>
    </row>
    <row r="2" spans="2:9" ht="15.75" x14ac:dyDescent="0.25">
      <c r="B2" s="7" t="s">
        <v>278</v>
      </c>
      <c r="C2" s="7"/>
    </row>
    <row r="3" spans="2:9" ht="15.75" x14ac:dyDescent="0.25">
      <c r="B3" s="8" t="s">
        <v>27</v>
      </c>
      <c r="C3" s="8"/>
    </row>
    <row r="4" spans="2:9" x14ac:dyDescent="0.25">
      <c r="E4"/>
      <c r="F4" s="27" t="s">
        <v>279</v>
      </c>
      <c r="G4" s="27" t="s">
        <v>280</v>
      </c>
      <c r="H4" s="27" t="s">
        <v>281</v>
      </c>
    </row>
    <row r="5" spans="2:9" s="11" customFormat="1" x14ac:dyDescent="0.25">
      <c r="B5" s="10" t="s">
        <v>282</v>
      </c>
      <c r="C5" s="10"/>
    </row>
    <row r="6" spans="2:9" x14ac:dyDescent="0.25">
      <c r="E6"/>
    </row>
    <row r="7" spans="2:9" x14ac:dyDescent="0.25">
      <c r="D7" t="s">
        <v>249</v>
      </c>
      <c r="E7" s="141">
        <v>2080</v>
      </c>
    </row>
    <row r="8" spans="2:9" x14ac:dyDescent="0.25">
      <c r="E8"/>
    </row>
    <row r="9" spans="2:9" x14ac:dyDescent="0.25">
      <c r="B9" s="3" t="s">
        <v>283</v>
      </c>
    </row>
    <row r="10" spans="2:9" x14ac:dyDescent="0.25">
      <c r="C10" s="1" t="s">
        <v>284</v>
      </c>
      <c r="E10" s="61" t="s">
        <v>285</v>
      </c>
    </row>
    <row r="11" spans="2:9" x14ac:dyDescent="0.25">
      <c r="D11" t="s">
        <v>151</v>
      </c>
      <c r="E11" s="136">
        <v>8.7986463620981392E-2</v>
      </c>
      <c r="F11" s="57">
        <f t="shared" ref="F11:H13" si="0">F$25*$E11</f>
        <v>0.70389170896785114</v>
      </c>
      <c r="G11" s="57">
        <f t="shared" si="0"/>
        <v>0.72148900169204733</v>
      </c>
      <c r="H11" s="57">
        <f t="shared" si="0"/>
        <v>1.8477157360406093</v>
      </c>
      <c r="I11" t="s">
        <v>286</v>
      </c>
    </row>
    <row r="12" spans="2:9" x14ac:dyDescent="0.25">
      <c r="D12" t="s">
        <v>152</v>
      </c>
      <c r="E12" s="136">
        <v>5.2453468697123522E-2</v>
      </c>
      <c r="F12" s="57">
        <f t="shared" si="0"/>
        <v>0.41962774957698817</v>
      </c>
      <c r="G12" s="57">
        <f t="shared" si="0"/>
        <v>0.43011844331641286</v>
      </c>
      <c r="H12" s="57">
        <f t="shared" si="0"/>
        <v>1.101522842639594</v>
      </c>
    </row>
    <row r="13" spans="2:9" x14ac:dyDescent="0.25">
      <c r="D13" t="s">
        <v>153</v>
      </c>
      <c r="E13" s="136">
        <v>6.7681895093062605E-2</v>
      </c>
      <c r="F13" s="57">
        <f t="shared" si="0"/>
        <v>0.54145516074450084</v>
      </c>
      <c r="G13" s="57">
        <f t="shared" si="0"/>
        <v>0.55499153976311333</v>
      </c>
      <c r="H13" s="57">
        <f t="shared" si="0"/>
        <v>1.4213197969543148</v>
      </c>
    </row>
    <row r="14" spans="2:9" x14ac:dyDescent="0.25">
      <c r="D14" s="24" t="s">
        <v>287</v>
      </c>
      <c r="E14" s="13"/>
      <c r="F14" s="56">
        <f>SUM(F11:F13)</f>
        <v>1.6649746192893402</v>
      </c>
      <c r="G14" s="56">
        <f>SUM(G11:G13)</f>
        <v>1.7065989847715735</v>
      </c>
      <c r="H14" s="56">
        <f>SUM(H11:H13)</f>
        <v>4.3705583756345181</v>
      </c>
    </row>
    <row r="16" spans="2:9" x14ac:dyDescent="0.25">
      <c r="C16" s="1" t="s">
        <v>288</v>
      </c>
      <c r="E16" s="61"/>
      <c r="F16" s="61"/>
      <c r="G16" s="61"/>
      <c r="H16" s="61"/>
    </row>
    <row r="17" spans="2:9" x14ac:dyDescent="0.25">
      <c r="D17" t="s">
        <v>142</v>
      </c>
      <c r="E17" s="192"/>
      <c r="F17" s="420">
        <v>1</v>
      </c>
      <c r="G17" s="420">
        <v>0</v>
      </c>
      <c r="H17" s="420">
        <v>0</v>
      </c>
    </row>
    <row r="18" spans="2:9" x14ac:dyDescent="0.25">
      <c r="D18" t="s">
        <v>143</v>
      </c>
      <c r="E18" s="192"/>
      <c r="F18" s="420">
        <v>1</v>
      </c>
      <c r="G18" s="420">
        <v>3.3</v>
      </c>
      <c r="H18" s="420">
        <v>10</v>
      </c>
    </row>
    <row r="19" spans="2:9" x14ac:dyDescent="0.25">
      <c r="D19" t="s">
        <v>144</v>
      </c>
      <c r="E19" s="192"/>
      <c r="F19" s="420">
        <v>1</v>
      </c>
      <c r="G19" s="420">
        <v>1.6</v>
      </c>
      <c r="H19" s="420"/>
    </row>
    <row r="20" spans="2:9" x14ac:dyDescent="0.25">
      <c r="D20" t="s">
        <v>145</v>
      </c>
      <c r="E20" s="192"/>
      <c r="F20" s="420">
        <v>1</v>
      </c>
      <c r="G20" s="420">
        <v>1</v>
      </c>
      <c r="H20" s="420">
        <v>1</v>
      </c>
    </row>
    <row r="21" spans="2:9" x14ac:dyDescent="0.25">
      <c r="D21" t="s">
        <v>146</v>
      </c>
      <c r="E21" s="192"/>
      <c r="F21" s="420">
        <v>1</v>
      </c>
      <c r="G21" s="420">
        <v>0.1</v>
      </c>
      <c r="H21" s="420">
        <v>0</v>
      </c>
    </row>
    <row r="22" spans="2:9" x14ac:dyDescent="0.25">
      <c r="D22" t="s">
        <v>147</v>
      </c>
      <c r="E22" s="192"/>
      <c r="F22" s="420">
        <v>1</v>
      </c>
      <c r="G22" s="420">
        <v>0.1</v>
      </c>
      <c r="H22" s="420">
        <v>0</v>
      </c>
    </row>
    <row r="23" spans="2:9" x14ac:dyDescent="0.25">
      <c r="D23" t="s">
        <v>148</v>
      </c>
      <c r="E23" s="192"/>
      <c r="F23" s="420">
        <v>1</v>
      </c>
      <c r="G23" s="420">
        <v>2</v>
      </c>
      <c r="H23" s="420">
        <v>10</v>
      </c>
    </row>
    <row r="24" spans="2:9" x14ac:dyDescent="0.25">
      <c r="D24" t="s">
        <v>58</v>
      </c>
      <c r="E24" s="192"/>
      <c r="F24" s="420">
        <v>1</v>
      </c>
      <c r="G24" s="420">
        <v>0.1</v>
      </c>
      <c r="H24" s="420">
        <v>0</v>
      </c>
    </row>
    <row r="25" spans="2:9" x14ac:dyDescent="0.25">
      <c r="D25" s="24" t="s">
        <v>289</v>
      </c>
      <c r="E25" s="55"/>
      <c r="F25" s="56">
        <f>SUM(F17:F24)</f>
        <v>8</v>
      </c>
      <c r="G25" s="56">
        <f>SUM(G17:G24)</f>
        <v>8.1999999999999993</v>
      </c>
      <c r="H25" s="56">
        <f>SUM(H17:H24)</f>
        <v>21</v>
      </c>
    </row>
    <row r="27" spans="2:9" x14ac:dyDescent="0.25">
      <c r="B27" s="3" t="s">
        <v>290</v>
      </c>
    </row>
    <row r="28" spans="2:9" x14ac:dyDescent="0.25">
      <c r="C28" s="1" t="s">
        <v>291</v>
      </c>
      <c r="E28" s="87" t="str">
        <f>'Wage Assumptions'!$C$8</f>
        <v>BLS Differentiated</v>
      </c>
    </row>
    <row r="29" spans="2:9" x14ac:dyDescent="0.25">
      <c r="D29" t="s">
        <v>151</v>
      </c>
      <c r="E29" s="154">
        <f>INDEX('Wage Assumptions'!$C$14:$G$26,MATCH($D29,'Wage Assumptions'!$C$14:$C$26,0),MATCH($E$28,'Wage Assumptions'!$C$13:$G$13,0))</f>
        <v>45.292455840455844</v>
      </c>
      <c r="F29" s="18">
        <f t="shared" ref="F29:H31" si="1">$E29*F11</f>
        <v>31.880984144889393</v>
      </c>
      <c r="G29" s="18">
        <f t="shared" si="1"/>
        <v>32.678008748511623</v>
      </c>
      <c r="H29" s="18">
        <f t="shared" si="1"/>
        <v>83.687583380334672</v>
      </c>
      <c r="I29" t="s">
        <v>292</v>
      </c>
    </row>
    <row r="30" spans="2:9" x14ac:dyDescent="0.25">
      <c r="D30" t="s">
        <v>152</v>
      </c>
      <c r="E30" s="154">
        <f>INDEX('Wage Assumptions'!$C$14:$G$26,MATCH($D30,'Wage Assumptions'!$C$14:$C$26,0),MATCH($E$28,'Wage Assumptions'!$C$13:$G$13,0))</f>
        <v>20.781244444444443</v>
      </c>
      <c r="F30" s="18">
        <f t="shared" si="1"/>
        <v>8.7203868396315087</v>
      </c>
      <c r="G30" s="18">
        <f t="shared" si="1"/>
        <v>8.9383965106222973</v>
      </c>
      <c r="H30" s="18">
        <f t="shared" si="1"/>
        <v>22.891015454032715</v>
      </c>
    </row>
    <row r="31" spans="2:9" x14ac:dyDescent="0.25">
      <c r="D31" t="s">
        <v>153</v>
      </c>
      <c r="E31" s="154">
        <f>INDEX('Wage Assumptions'!$C$14:$G$26,MATCH($D31,'Wage Assumptions'!$C$14:$C$26,0),MATCH($E$28,'Wage Assumptions'!$C$13:$G$13,0))</f>
        <v>24.553839589743585</v>
      </c>
      <c r="F31" s="18">
        <f t="shared" si="1"/>
        <v>13.294803161959301</v>
      </c>
      <c r="G31" s="18">
        <f t="shared" si="1"/>
        <v>13.627173241008283</v>
      </c>
      <c r="H31" s="18">
        <f t="shared" si="1"/>
        <v>34.898858300143168</v>
      </c>
    </row>
    <row r="32" spans="2:9" x14ac:dyDescent="0.25">
      <c r="D32" s="24" t="s">
        <v>293</v>
      </c>
      <c r="E32" s="13"/>
      <c r="F32" s="42">
        <f>SUM(F29:F31)</f>
        <v>53.896174146480199</v>
      </c>
      <c r="G32" s="42">
        <f>SUM(G29:G31)</f>
        <v>55.243578500142206</v>
      </c>
      <c r="H32" s="42">
        <f>SUM(H29:H31)</f>
        <v>141.47745713451056</v>
      </c>
    </row>
    <row r="34" spans="2:8" x14ac:dyDescent="0.25">
      <c r="C34" s="1" t="s">
        <v>36</v>
      </c>
      <c r="E34" s="87" t="str">
        <f>'Wage Assumptions'!$C$8</f>
        <v>BLS Differentiated</v>
      </c>
    </row>
    <row r="35" spans="2:8" x14ac:dyDescent="0.25">
      <c r="D35" t="str">
        <f>'Wage Assumptions'!$C$14</f>
        <v>Audiologist</v>
      </c>
      <c r="E35" s="154">
        <f>INDEX('Wage Assumptions'!$C$14:$G$22,MATCH($D35,'Wage Assumptions'!$C$14:$C$22,0),MATCH($E$34,'Wage Assumptions'!$C$13:$G$13,0))</f>
        <v>42.97</v>
      </c>
      <c r="F35" s="18">
        <f t="shared" ref="F35:H42" si="2">$E35*F17</f>
        <v>42.97</v>
      </c>
      <c r="G35" s="18">
        <f t="shared" si="2"/>
        <v>0</v>
      </c>
      <c r="H35" s="18">
        <f t="shared" si="2"/>
        <v>0</v>
      </c>
    </row>
    <row r="36" spans="2:8" x14ac:dyDescent="0.25">
      <c r="D36" t="str">
        <f>'Wage Assumptions'!$C$15</f>
        <v>Developmental Therapist</v>
      </c>
      <c r="E36" s="154">
        <f>INDEX('Wage Assumptions'!$C$14:$G$22,MATCH($D36,'Wage Assumptions'!$C$14:$C$22,0),MATCH($E$34,'Wage Assumptions'!$C$13:$G$13,0))</f>
        <v>36.365384615384613</v>
      </c>
      <c r="F36" s="18">
        <f t="shared" si="2"/>
        <v>36.365384615384613</v>
      </c>
      <c r="G36" s="18">
        <f t="shared" si="2"/>
        <v>120.00576923076922</v>
      </c>
      <c r="H36" s="18">
        <f t="shared" si="2"/>
        <v>363.65384615384613</v>
      </c>
    </row>
    <row r="37" spans="2:8" x14ac:dyDescent="0.25">
      <c r="D37" t="str">
        <f>'Wage Assumptions'!$C$16</f>
        <v>Occupational Therapist</v>
      </c>
      <c r="E37" s="154">
        <f>INDEX('Wage Assumptions'!$C$14:$G$22,MATCH($D37,'Wage Assumptions'!$C$14:$C$22,0),MATCH($E$34,'Wage Assumptions'!$C$13:$G$13,0))</f>
        <v>46.23</v>
      </c>
      <c r="F37" s="18">
        <f t="shared" si="2"/>
        <v>46.23</v>
      </c>
      <c r="G37" s="18">
        <f t="shared" si="2"/>
        <v>73.968000000000004</v>
      </c>
      <c r="H37" s="18">
        <f t="shared" si="2"/>
        <v>0</v>
      </c>
    </row>
    <row r="38" spans="2:8" x14ac:dyDescent="0.25">
      <c r="D38" t="str">
        <f>'Wage Assumptions'!$C$17</f>
        <v>Physical Therapist</v>
      </c>
      <c r="E38" s="154">
        <f>INDEX('Wage Assumptions'!$C$14:$G$22,MATCH($D38,'Wage Assumptions'!$C$14:$C$22,0),MATCH($E$34,'Wage Assumptions'!$C$13:$G$13,0))</f>
        <v>50.31</v>
      </c>
      <c r="F38" s="18">
        <f t="shared" si="2"/>
        <v>50.31</v>
      </c>
      <c r="G38" s="18">
        <f t="shared" si="2"/>
        <v>50.31</v>
      </c>
      <c r="H38" s="18">
        <f t="shared" si="2"/>
        <v>50.31</v>
      </c>
    </row>
    <row r="39" spans="2:8" x14ac:dyDescent="0.25">
      <c r="D39" t="str">
        <f>'Wage Assumptions'!$C$18</f>
        <v>Psychologist</v>
      </c>
      <c r="E39" s="154">
        <f>INDEX('Wage Assumptions'!$C$14:$G$22,MATCH($D39,'Wage Assumptions'!$C$14:$C$22,0),MATCH($E$34,'Wage Assumptions'!$C$13:$G$13,0))</f>
        <v>53.51</v>
      </c>
      <c r="F39" s="18">
        <f t="shared" si="2"/>
        <v>53.51</v>
      </c>
      <c r="G39" s="18">
        <f t="shared" si="2"/>
        <v>5.351</v>
      </c>
      <c r="H39" s="18">
        <f t="shared" si="2"/>
        <v>0</v>
      </c>
    </row>
    <row r="40" spans="2:8" x14ac:dyDescent="0.25">
      <c r="D40" t="str">
        <f>'Wage Assumptions'!$C$19</f>
        <v>Social Worker</v>
      </c>
      <c r="E40" s="154">
        <f>INDEX('Wage Assumptions'!$C$14:$G$22,MATCH($D40,'Wage Assumptions'!$C$14:$C$22,0),MATCH($E$34,'Wage Assumptions'!$C$13:$G$13,0))</f>
        <v>30.57</v>
      </c>
      <c r="F40" s="18">
        <f t="shared" si="2"/>
        <v>30.57</v>
      </c>
      <c r="G40" s="18">
        <f t="shared" si="2"/>
        <v>3.0570000000000004</v>
      </c>
      <c r="H40" s="18">
        <f t="shared" si="2"/>
        <v>0</v>
      </c>
    </row>
    <row r="41" spans="2:8" x14ac:dyDescent="0.25">
      <c r="D41" t="str">
        <f>'Wage Assumptions'!$C$20</f>
        <v>Speech Language Pathologist</v>
      </c>
      <c r="E41" s="154">
        <f>INDEX('Wage Assumptions'!$C$14:$G$22,MATCH($D41,'Wage Assumptions'!$C$14:$C$22,0),MATCH($E$34,'Wage Assumptions'!$C$13:$G$13,0))</f>
        <v>42.27</v>
      </c>
      <c r="F41" s="18">
        <f t="shared" si="2"/>
        <v>42.27</v>
      </c>
      <c r="G41" s="18">
        <f t="shared" si="2"/>
        <v>84.54</v>
      </c>
      <c r="H41" s="18">
        <f t="shared" si="2"/>
        <v>422.70000000000005</v>
      </c>
    </row>
    <row r="42" spans="2:8" x14ac:dyDescent="0.25">
      <c r="D42" t="s">
        <v>58</v>
      </c>
      <c r="E42" s="154">
        <f>INDEX('Wage Assumptions'!$C$14:$G$22,MATCH($D42,'Wage Assumptions'!$C$14:$C$22,0),MATCH($E$34,'Wage Assumptions'!$C$13:$G$13,0))</f>
        <v>30.95</v>
      </c>
      <c r="F42" s="18">
        <f t="shared" si="2"/>
        <v>30.95</v>
      </c>
      <c r="G42" s="18">
        <f t="shared" si="2"/>
        <v>3.0950000000000002</v>
      </c>
      <c r="H42" s="18">
        <f t="shared" si="2"/>
        <v>0</v>
      </c>
    </row>
    <row r="43" spans="2:8" x14ac:dyDescent="0.25">
      <c r="D43" s="24" t="s">
        <v>294</v>
      </c>
      <c r="E43" s="155"/>
      <c r="F43" s="42">
        <f>SUM(F35:F42)</f>
        <v>333.17538461538459</v>
      </c>
      <c r="G43" s="42">
        <f>SUM(G35:G42)</f>
        <v>340.32676923076923</v>
      </c>
      <c r="H43" s="42">
        <f>SUM(H35:H42)</f>
        <v>836.66384615384618</v>
      </c>
    </row>
    <row r="45" spans="2:8" x14ac:dyDescent="0.25">
      <c r="B45" s="3" t="s">
        <v>295</v>
      </c>
    </row>
    <row r="46" spans="2:8" x14ac:dyDescent="0.25">
      <c r="C46" s="1" t="s">
        <v>291</v>
      </c>
    </row>
    <row r="47" spans="2:8" x14ac:dyDescent="0.25">
      <c r="C47" s="1"/>
      <c r="D47" t="s">
        <v>296</v>
      </c>
      <c r="E47" s="120">
        <v>7.6499999999999999E-2</v>
      </c>
      <c r="F47" s="18">
        <f t="shared" ref="F47:H49" si="3">$E47*F$32</f>
        <v>4.1230573222057352</v>
      </c>
      <c r="G47" s="18">
        <f t="shared" si="3"/>
        <v>4.2261337552608786</v>
      </c>
      <c r="H47" s="18">
        <f t="shared" si="3"/>
        <v>10.823025470790057</v>
      </c>
    </row>
    <row r="48" spans="2:8" x14ac:dyDescent="0.25">
      <c r="C48" s="1"/>
      <c r="D48" t="s">
        <v>297</v>
      </c>
      <c r="E48" s="137">
        <v>8.0000000000000002E-3</v>
      </c>
      <c r="F48" s="18">
        <f t="shared" si="3"/>
        <v>0.43116939317184161</v>
      </c>
      <c r="G48" s="18">
        <f t="shared" si="3"/>
        <v>0.44194862800113766</v>
      </c>
      <c r="H48" s="18">
        <f t="shared" si="3"/>
        <v>1.1318196570760846</v>
      </c>
    </row>
    <row r="49" spans="2:9" x14ac:dyDescent="0.25">
      <c r="C49" s="1"/>
      <c r="D49" t="s">
        <v>298</v>
      </c>
      <c r="E49" s="137">
        <v>1E-3</v>
      </c>
      <c r="F49" s="18">
        <f t="shared" si="3"/>
        <v>5.3896174146480201E-2</v>
      </c>
      <c r="G49" s="18">
        <f t="shared" si="3"/>
        <v>5.5243578500142207E-2</v>
      </c>
      <c r="H49" s="18">
        <f t="shared" si="3"/>
        <v>0.14147745713451057</v>
      </c>
    </row>
    <row r="50" spans="2:9" x14ac:dyDescent="0.25">
      <c r="D50" t="s">
        <v>253</v>
      </c>
      <c r="E50" s="118">
        <v>7269</v>
      </c>
      <c r="F50" s="18">
        <f>$E50/$E$7*F$14</f>
        <v>5.8186060132760646</v>
      </c>
      <c r="G50" s="18">
        <f>$E50/$E$7*G$14</f>
        <v>5.9640711636079651</v>
      </c>
      <c r="H50" s="18">
        <f>$E50/$E$7*H$14</f>
        <v>15.27384078484967</v>
      </c>
      <c r="I50" s="59"/>
    </row>
    <row r="51" spans="2:9" x14ac:dyDescent="0.25">
      <c r="D51" t="s">
        <v>299</v>
      </c>
      <c r="E51" s="199">
        <v>0.04</v>
      </c>
      <c r="F51" s="18">
        <f>$E51*F$32</f>
        <v>2.1558469658592081</v>
      </c>
      <c r="G51" s="18">
        <f>$E51*G$32</f>
        <v>2.2097431400056884</v>
      </c>
      <c r="H51" s="18">
        <f>$E51*H$32</f>
        <v>5.6590982853804226</v>
      </c>
    </row>
    <row r="52" spans="2:9" s="3" customFormat="1" x14ac:dyDescent="0.25">
      <c r="D52" s="24" t="s">
        <v>300</v>
      </c>
      <c r="E52" s="64"/>
      <c r="F52" s="42">
        <f>SUM(F47:F51)</f>
        <v>12.58257586865933</v>
      </c>
      <c r="G52" s="42">
        <f>SUM(G47:G51)</f>
        <v>12.89714026537581</v>
      </c>
      <c r="H52" s="42">
        <f>SUM(H47:H51)</f>
        <v>33.029261655230741</v>
      </c>
      <c r="I52" s="239"/>
    </row>
    <row r="54" spans="2:9" x14ac:dyDescent="0.25">
      <c r="C54" s="1" t="s">
        <v>36</v>
      </c>
    </row>
    <row r="55" spans="2:9" x14ac:dyDescent="0.25">
      <c r="C55" s="1"/>
      <c r="D55" t="s">
        <v>296</v>
      </c>
      <c r="E55" s="120">
        <v>7.6499999999999999E-2</v>
      </c>
      <c r="F55" s="18">
        <f t="shared" ref="F55:H57" si="4">$E55*F$43</f>
        <v>25.48791692307692</v>
      </c>
      <c r="G55" s="18">
        <f t="shared" si="4"/>
        <v>26.034997846153846</v>
      </c>
      <c r="H55" s="18">
        <f t="shared" si="4"/>
        <v>64.004784230769232</v>
      </c>
      <c r="I55" s="9"/>
    </row>
    <row r="56" spans="2:9" x14ac:dyDescent="0.25">
      <c r="C56" s="1"/>
      <c r="D56" t="s">
        <v>297</v>
      </c>
      <c r="E56" s="137">
        <v>8.0000000000000002E-3</v>
      </c>
      <c r="F56" s="18">
        <f t="shared" si="4"/>
        <v>2.6654030769230768</v>
      </c>
      <c r="G56" s="18">
        <f t="shared" si="4"/>
        <v>2.7226141538461537</v>
      </c>
      <c r="H56" s="18">
        <f t="shared" si="4"/>
        <v>6.6933107692307692</v>
      </c>
      <c r="I56" s="9">
        <f>F41*0.1255</f>
        <v>5.3048850000000005</v>
      </c>
    </row>
    <row r="57" spans="2:9" x14ac:dyDescent="0.25">
      <c r="C57" s="1"/>
      <c r="D57" t="s">
        <v>298</v>
      </c>
      <c r="E57" s="137">
        <v>1E-3</v>
      </c>
      <c r="F57" s="18">
        <f t="shared" si="4"/>
        <v>0.3331753846153846</v>
      </c>
      <c r="G57" s="18">
        <f t="shared" si="4"/>
        <v>0.34032676923076921</v>
      </c>
      <c r="H57" s="18">
        <f t="shared" si="4"/>
        <v>0.83666384615384615</v>
      </c>
      <c r="I57" s="9">
        <f>E58/2080</f>
        <v>3.4947115384615386</v>
      </c>
    </row>
    <row r="58" spans="2:9" x14ac:dyDescent="0.25">
      <c r="D58" t="s">
        <v>253</v>
      </c>
      <c r="E58" s="118">
        <f>E50</f>
        <v>7269</v>
      </c>
      <c r="F58" s="18">
        <f>$E58/$E$7*F$25</f>
        <v>27.957692307692309</v>
      </c>
      <c r="G58" s="18">
        <f>$E58/$E$7*G$25</f>
        <v>28.656634615384615</v>
      </c>
      <c r="H58" s="18">
        <f>$E58/$E$7*H$25</f>
        <v>73.388942307692304</v>
      </c>
      <c r="I58" s="9">
        <f>SUM(I56:I57)</f>
        <v>8.7995965384615396</v>
      </c>
    </row>
    <row r="59" spans="2:9" x14ac:dyDescent="0.25">
      <c r="D59" t="s">
        <v>299</v>
      </c>
      <c r="E59" s="199">
        <v>0.04</v>
      </c>
      <c r="F59" s="18">
        <f>$E59*F$43</f>
        <v>13.327015384615384</v>
      </c>
      <c r="G59" s="18">
        <f>$E59*G$43</f>
        <v>13.61307076923077</v>
      </c>
      <c r="H59" s="18">
        <f>$E59*H$43</f>
        <v>33.46655384615385</v>
      </c>
      <c r="I59" s="9"/>
    </row>
    <row r="60" spans="2:9" x14ac:dyDescent="0.25">
      <c r="C60" s="3"/>
      <c r="D60" s="24" t="s">
        <v>301</v>
      </c>
      <c r="E60" s="64"/>
      <c r="F60" s="42">
        <f>SUM(F55:F59)</f>
        <v>69.771203076923072</v>
      </c>
      <c r="G60" s="42">
        <f>SUM(G55:G59)</f>
        <v>71.367644153846157</v>
      </c>
      <c r="H60" s="42">
        <f>SUM(H55:H59)</f>
        <v>178.390255</v>
      </c>
    </row>
    <row r="62" spans="2:9" ht="15.75" x14ac:dyDescent="0.25">
      <c r="B62" s="139" t="s">
        <v>302</v>
      </c>
      <c r="C62" s="140"/>
      <c r="D62" s="140"/>
      <c r="E62" s="138"/>
      <c r="F62" s="156">
        <f>SUM(F32,F52)</f>
        <v>66.478750015139525</v>
      </c>
      <c r="G62" s="156">
        <f>SUM(G32,G52)</f>
        <v>68.140718765518017</v>
      </c>
      <c r="H62" s="156">
        <f>SUM(H32,H52)</f>
        <v>174.50671878974129</v>
      </c>
    </row>
    <row r="63" spans="2:9" ht="15.75" x14ac:dyDescent="0.25">
      <c r="B63" s="139" t="s">
        <v>303</v>
      </c>
      <c r="C63" s="140"/>
      <c r="D63" s="140"/>
      <c r="E63" s="138"/>
      <c r="F63" s="156">
        <f>SUM(F43,F60)</f>
        <v>402.94658769230767</v>
      </c>
      <c r="G63" s="156">
        <f>SUM(G43,G60)</f>
        <v>411.69441338461536</v>
      </c>
      <c r="H63" s="156">
        <f>SUM(H43,H60)</f>
        <v>1015.0541011538462</v>
      </c>
    </row>
    <row r="65" spans="2:9" x14ac:dyDescent="0.25">
      <c r="B65" s="3" t="s">
        <v>304</v>
      </c>
    </row>
    <row r="66" spans="2:9" x14ac:dyDescent="0.25">
      <c r="B66" s="3"/>
      <c r="D66" t="s">
        <v>305</v>
      </c>
      <c r="E66" s="118">
        <v>7670</v>
      </c>
      <c r="F66" s="18">
        <f t="shared" ref="F66:H76" si="5">$E66/$E$7</f>
        <v>3.6875</v>
      </c>
      <c r="G66" s="18">
        <f t="shared" si="5"/>
        <v>3.6875</v>
      </c>
      <c r="H66" s="18">
        <f t="shared" si="5"/>
        <v>3.6875</v>
      </c>
      <c r="I66" s="1" t="s">
        <v>306</v>
      </c>
    </row>
    <row r="67" spans="2:9" x14ac:dyDescent="0.25">
      <c r="B67" s="3"/>
      <c r="D67" t="s">
        <v>307</v>
      </c>
      <c r="E67" s="118">
        <v>3388.5</v>
      </c>
      <c r="F67" s="18">
        <f t="shared" si="5"/>
        <v>1.6290865384615385</v>
      </c>
      <c r="G67" s="18">
        <f t="shared" si="5"/>
        <v>1.6290865384615385</v>
      </c>
      <c r="H67" s="18">
        <f t="shared" si="5"/>
        <v>1.6290865384615385</v>
      </c>
    </row>
    <row r="68" spans="2:9" x14ac:dyDescent="0.25">
      <c r="D68" t="s">
        <v>308</v>
      </c>
      <c r="E68" s="118">
        <v>2000</v>
      </c>
      <c r="F68" s="18">
        <f t="shared" si="5"/>
        <v>0.96153846153846156</v>
      </c>
      <c r="G68" s="18">
        <f t="shared" si="5"/>
        <v>0.96153846153846156</v>
      </c>
      <c r="H68" s="18">
        <f t="shared" si="5"/>
        <v>0.96153846153846156</v>
      </c>
    </row>
    <row r="69" spans="2:9" x14ac:dyDescent="0.25">
      <c r="D69" t="s">
        <v>309</v>
      </c>
      <c r="E69" s="118">
        <v>2400</v>
      </c>
      <c r="F69" s="18">
        <f t="shared" si="5"/>
        <v>1.1538461538461537</v>
      </c>
      <c r="G69" s="18">
        <f t="shared" si="5"/>
        <v>1.1538461538461537</v>
      </c>
      <c r="H69" s="18">
        <f t="shared" si="5"/>
        <v>1.1538461538461537</v>
      </c>
    </row>
    <row r="70" spans="2:9" x14ac:dyDescent="0.25">
      <c r="D70" t="s">
        <v>258</v>
      </c>
      <c r="E70" s="118">
        <v>7250</v>
      </c>
      <c r="F70" s="18">
        <f t="shared" si="5"/>
        <v>3.4855769230769229</v>
      </c>
      <c r="G70" s="18">
        <f t="shared" si="5"/>
        <v>3.4855769230769229</v>
      </c>
      <c r="H70" s="18">
        <f t="shared" si="5"/>
        <v>3.4855769230769229</v>
      </c>
    </row>
    <row r="71" spans="2:9" x14ac:dyDescent="0.25">
      <c r="D71" t="s">
        <v>259</v>
      </c>
      <c r="E71" s="118">
        <v>8480</v>
      </c>
      <c r="F71" s="18">
        <f t="shared" si="5"/>
        <v>4.0769230769230766</v>
      </c>
      <c r="G71" s="18">
        <f t="shared" si="5"/>
        <v>4.0769230769230766</v>
      </c>
      <c r="H71" s="18">
        <f t="shared" si="5"/>
        <v>4.0769230769230766</v>
      </c>
    </row>
    <row r="72" spans="2:9" x14ac:dyDescent="0.25">
      <c r="D72" t="s">
        <v>310</v>
      </c>
      <c r="E72" s="118">
        <v>3000</v>
      </c>
      <c r="F72" s="18">
        <f t="shared" si="5"/>
        <v>1.4423076923076923</v>
      </c>
      <c r="G72" s="18">
        <f t="shared" si="5"/>
        <v>1.4423076923076923</v>
      </c>
      <c r="H72" s="18">
        <f t="shared" si="5"/>
        <v>1.4423076923076923</v>
      </c>
    </row>
    <row r="73" spans="2:9" x14ac:dyDescent="0.25">
      <c r="D73" t="s">
        <v>311</v>
      </c>
      <c r="E73" s="118">
        <v>1750</v>
      </c>
      <c r="F73" s="18">
        <f t="shared" si="5"/>
        <v>0.84134615384615385</v>
      </c>
      <c r="G73" s="18">
        <f t="shared" si="5"/>
        <v>0.84134615384615385</v>
      </c>
      <c r="H73" s="18">
        <f t="shared" si="5"/>
        <v>0.84134615384615385</v>
      </c>
    </row>
    <row r="74" spans="2:9" x14ac:dyDescent="0.25">
      <c r="D74" t="s">
        <v>262</v>
      </c>
      <c r="E74" s="118">
        <v>1900</v>
      </c>
      <c r="F74" s="18">
        <f t="shared" si="5"/>
        <v>0.91346153846153844</v>
      </c>
      <c r="G74" s="18">
        <f t="shared" si="5"/>
        <v>0.91346153846153844</v>
      </c>
      <c r="H74" s="18">
        <f t="shared" si="5"/>
        <v>0.91346153846153844</v>
      </c>
    </row>
    <row r="75" spans="2:9" x14ac:dyDescent="0.25">
      <c r="D75" t="s">
        <v>312</v>
      </c>
      <c r="E75" s="118">
        <v>4000</v>
      </c>
      <c r="F75" s="18">
        <f t="shared" si="5"/>
        <v>1.9230769230769231</v>
      </c>
      <c r="G75" s="18">
        <f t="shared" si="5"/>
        <v>1.9230769230769231</v>
      </c>
      <c r="H75" s="18">
        <f t="shared" si="5"/>
        <v>1.9230769230769231</v>
      </c>
    </row>
    <row r="76" spans="2:9" x14ac:dyDescent="0.25">
      <c r="D76" t="s">
        <v>264</v>
      </c>
      <c r="E76" s="118">
        <v>2250</v>
      </c>
      <c r="F76" s="18">
        <f t="shared" si="5"/>
        <v>1.0817307692307692</v>
      </c>
      <c r="G76" s="18">
        <f t="shared" si="5"/>
        <v>1.0817307692307692</v>
      </c>
      <c r="H76" s="18">
        <f t="shared" si="5"/>
        <v>1.0817307692307692</v>
      </c>
    </row>
    <row r="77" spans="2:9" x14ac:dyDescent="0.25">
      <c r="D77" s="24" t="s">
        <v>313</v>
      </c>
      <c r="E77" s="13"/>
      <c r="F77" s="42">
        <f>SUM(F66:F76)</f>
        <v>21.196394230769233</v>
      </c>
      <c r="G77" s="42">
        <f>SUM(G66:G76)</f>
        <v>21.196394230769233</v>
      </c>
      <c r="H77" s="42">
        <f>SUM(H66:H76)</f>
        <v>21.196394230769233</v>
      </c>
    </row>
    <row r="78" spans="2:9" x14ac:dyDescent="0.25">
      <c r="F78" s="18"/>
      <c r="G78" s="18"/>
      <c r="H78" s="18"/>
    </row>
    <row r="79" spans="2:9" ht="15.75" x14ac:dyDescent="0.25">
      <c r="B79" s="139" t="s">
        <v>314</v>
      </c>
      <c r="C79" s="140"/>
      <c r="D79" s="140"/>
      <c r="E79" s="138"/>
      <c r="F79" s="156">
        <f>F77</f>
        <v>21.196394230769233</v>
      </c>
      <c r="G79" s="156">
        <f>G77</f>
        <v>21.196394230769233</v>
      </c>
      <c r="H79" s="156">
        <f>H77</f>
        <v>21.196394230769233</v>
      </c>
    </row>
    <row r="80" spans="2:9" x14ac:dyDescent="0.25">
      <c r="F80" s="18"/>
      <c r="G80" s="18"/>
      <c r="H80" s="18"/>
    </row>
    <row r="81" spans="2:16" ht="15.75" x14ac:dyDescent="0.25">
      <c r="B81" s="62" t="s">
        <v>315</v>
      </c>
      <c r="C81" s="62"/>
      <c r="D81" s="62"/>
      <c r="E81" s="63"/>
      <c r="F81" s="157">
        <f>SUM(F62,F63,F79)</f>
        <v>490.62173193821639</v>
      </c>
      <c r="G81" s="157">
        <f>SUM(G62,G63,G79)</f>
        <v>501.03152638090262</v>
      </c>
      <c r="H81" s="157">
        <f>SUM(H62,H63,H79)</f>
        <v>1210.7572141743567</v>
      </c>
    </row>
    <row r="82" spans="2:16" x14ac:dyDescent="0.25">
      <c r="F82" s="18"/>
      <c r="G82" s="18"/>
      <c r="H82" s="18"/>
    </row>
    <row r="83" spans="2:16" s="1" customFormat="1" x14ac:dyDescent="0.25">
      <c r="C83" s="1" t="s">
        <v>316</v>
      </c>
      <c r="E83" s="100"/>
      <c r="F83" s="158">
        <f>F62/F25</f>
        <v>8.3098437518924406</v>
      </c>
      <c r="G83" s="158">
        <f>G62/G25</f>
        <v>8.3098437518924424</v>
      </c>
      <c r="H83" s="158">
        <f>H62/H25</f>
        <v>8.3098437518924424</v>
      </c>
    </row>
    <row r="84" spans="2:16" s="1" customFormat="1" x14ac:dyDescent="0.25">
      <c r="C84" s="1" t="s">
        <v>317</v>
      </c>
      <c r="E84" s="100"/>
      <c r="F84" s="159">
        <f>F79/F25</f>
        <v>2.6495492788461541</v>
      </c>
      <c r="G84" s="159">
        <f>G79/G25</f>
        <v>2.5849261257035652</v>
      </c>
      <c r="H84" s="159">
        <f>H79/H25</f>
        <v>1.0093521062271062</v>
      </c>
    </row>
    <row r="85" spans="2:16" s="1" customFormat="1" x14ac:dyDescent="0.25">
      <c r="C85" s="22" t="s">
        <v>318</v>
      </c>
      <c r="D85" s="22"/>
      <c r="E85" s="101"/>
      <c r="F85" s="160">
        <f>F83+F84</f>
        <v>10.959393030738594</v>
      </c>
      <c r="G85" s="160">
        <f>G83+G84</f>
        <v>10.894769877596008</v>
      </c>
      <c r="H85" s="160">
        <f>H83+H84</f>
        <v>9.3191958581195493</v>
      </c>
      <c r="I85" s="59"/>
    </row>
    <row r="87" spans="2:16" s="11" customFormat="1" x14ac:dyDescent="0.25">
      <c r="B87" s="10" t="s">
        <v>269</v>
      </c>
      <c r="C87" s="10"/>
    </row>
    <row r="90" spans="2:16" x14ac:dyDescent="0.25">
      <c r="F90" s="105"/>
      <c r="H90" s="105"/>
      <c r="I90" s="104" t="s">
        <v>319</v>
      </c>
      <c r="J90" s="99"/>
      <c r="K90" s="104" t="s">
        <v>320</v>
      </c>
      <c r="L90" s="99"/>
      <c r="M90" s="104" t="s">
        <v>321</v>
      </c>
      <c r="N90" s="99"/>
    </row>
    <row r="91" spans="2:16" s="26" customFormat="1" ht="30" x14ac:dyDescent="0.25">
      <c r="D91" s="193" t="s">
        <v>322</v>
      </c>
      <c r="E91" s="194"/>
      <c r="F91" s="112" t="s">
        <v>323</v>
      </c>
      <c r="G91" s="112" t="s">
        <v>324</v>
      </c>
      <c r="H91" s="161" t="s">
        <v>325</v>
      </c>
      <c r="I91" s="112" t="s">
        <v>326</v>
      </c>
      <c r="J91" s="34" t="s">
        <v>327</v>
      </c>
      <c r="K91" s="112" t="s">
        <v>326</v>
      </c>
      <c r="L91" s="34" t="s">
        <v>328</v>
      </c>
      <c r="M91" s="112" t="s">
        <v>326</v>
      </c>
      <c r="N91" s="34" t="s">
        <v>329</v>
      </c>
      <c r="O91"/>
      <c r="P91"/>
    </row>
    <row r="92" spans="2:16" x14ac:dyDescent="0.25">
      <c r="D92" s="66" t="s">
        <v>142</v>
      </c>
      <c r="E92" s="110"/>
      <c r="F92" s="195">
        <f t="shared" ref="F92:F99" si="6">IFERROR(F35+(F35*$E$55)+(F35*$E$56)+(F35*$E$57)+($E$58/$E$7*F17)+($E$59*F35),0)</f>
        <v>51.857446538461538</v>
      </c>
      <c r="G92" s="21">
        <f t="shared" ref="G92:G99" si="7">IFERROR(F92+($F$85*F17),0)</f>
        <v>62.816839569200134</v>
      </c>
      <c r="H92" s="111">
        <f t="shared" ref="H92:H99" si="8">IF(F17&gt;0,G92/F17,0)</f>
        <v>62.816839569200134</v>
      </c>
      <c r="I92" s="421">
        <v>0.39</v>
      </c>
      <c r="J92" s="67">
        <f t="shared" ref="J92:J98" si="9">$H92/I92</f>
        <v>161.06881940820546</v>
      </c>
      <c r="K92" s="421">
        <v>0.39</v>
      </c>
      <c r="L92" s="67">
        <f t="shared" ref="L92:L98" si="10">$H92/K92</f>
        <v>161.06881940820546</v>
      </c>
      <c r="M92" s="421">
        <v>0.39</v>
      </c>
      <c r="N92" s="67">
        <f t="shared" ref="N92:N98" si="11">$H92/M92</f>
        <v>161.06881940820546</v>
      </c>
    </row>
    <row r="93" spans="2:16" x14ac:dyDescent="0.25">
      <c r="D93" s="66" t="s">
        <v>143</v>
      </c>
      <c r="E93" s="110"/>
      <c r="F93" s="195">
        <f t="shared" si="6"/>
        <v>44.423951923076928</v>
      </c>
      <c r="G93" s="21">
        <f t="shared" si="7"/>
        <v>55.383344953815524</v>
      </c>
      <c r="H93" s="111">
        <f t="shared" si="8"/>
        <v>55.383344953815524</v>
      </c>
      <c r="I93" s="421">
        <v>0.39</v>
      </c>
      <c r="J93" s="67">
        <f t="shared" si="9"/>
        <v>142.00857680465518</v>
      </c>
      <c r="K93" s="421">
        <v>0.39</v>
      </c>
      <c r="L93" s="67">
        <f t="shared" si="10"/>
        <v>142.00857680465518</v>
      </c>
      <c r="M93" s="421">
        <v>0.39</v>
      </c>
      <c r="N93" s="67">
        <f t="shared" si="11"/>
        <v>142.00857680465518</v>
      </c>
    </row>
    <row r="94" spans="2:16" x14ac:dyDescent="0.25">
      <c r="D94" s="66" t="s">
        <v>144</v>
      </c>
      <c r="E94" s="110"/>
      <c r="F94" s="195">
        <f t="shared" si="6"/>
        <v>55.526576538461541</v>
      </c>
      <c r="G94" s="21">
        <f t="shared" si="7"/>
        <v>66.485969569200137</v>
      </c>
      <c r="H94" s="111">
        <f t="shared" si="8"/>
        <v>66.485969569200137</v>
      </c>
      <c r="I94" s="421">
        <v>0.39</v>
      </c>
      <c r="J94" s="67">
        <f t="shared" si="9"/>
        <v>170.47684504923112</v>
      </c>
      <c r="K94" s="421">
        <v>0.39</v>
      </c>
      <c r="L94" s="67">
        <f t="shared" si="10"/>
        <v>170.47684504923112</v>
      </c>
      <c r="M94" s="421">
        <v>0.39</v>
      </c>
      <c r="N94" s="67">
        <f t="shared" si="11"/>
        <v>170.47684504923112</v>
      </c>
    </row>
    <row r="95" spans="2:16" x14ac:dyDescent="0.25">
      <c r="D95" s="66" t="s">
        <v>145</v>
      </c>
      <c r="E95" s="110"/>
      <c r="F95" s="195">
        <f t="shared" si="6"/>
        <v>60.118616538461538</v>
      </c>
      <c r="G95" s="21">
        <f t="shared" si="7"/>
        <v>71.078009569200134</v>
      </c>
      <c r="H95" s="111">
        <f t="shared" si="8"/>
        <v>71.078009569200134</v>
      </c>
      <c r="I95" s="421">
        <v>0.39</v>
      </c>
      <c r="J95" s="67">
        <f t="shared" si="9"/>
        <v>182.25130658769265</v>
      </c>
      <c r="K95" s="421">
        <v>0.39</v>
      </c>
      <c r="L95" s="67">
        <f t="shared" si="10"/>
        <v>182.25130658769265</v>
      </c>
      <c r="M95" s="421">
        <v>0.39</v>
      </c>
      <c r="N95" s="67">
        <f t="shared" si="11"/>
        <v>182.25130658769265</v>
      </c>
    </row>
    <row r="96" spans="2:16" x14ac:dyDescent="0.25">
      <c r="D96" s="66" t="s">
        <v>146</v>
      </c>
      <c r="E96" s="110"/>
      <c r="F96" s="195">
        <f t="shared" si="6"/>
        <v>63.720216538461543</v>
      </c>
      <c r="G96" s="21">
        <f t="shared" si="7"/>
        <v>74.679609569200139</v>
      </c>
      <c r="H96" s="111">
        <f t="shared" si="8"/>
        <v>74.679609569200139</v>
      </c>
      <c r="I96" s="421">
        <v>0.39</v>
      </c>
      <c r="J96" s="67">
        <f t="shared" si="9"/>
        <v>191.48617838256445</v>
      </c>
      <c r="K96" s="421">
        <v>0.39</v>
      </c>
      <c r="L96" s="67">
        <f t="shared" si="10"/>
        <v>191.48617838256445</v>
      </c>
      <c r="M96" s="421">
        <v>0.39</v>
      </c>
      <c r="N96" s="67">
        <f t="shared" si="11"/>
        <v>191.48617838256445</v>
      </c>
    </row>
    <row r="97" spans="4:14" x14ac:dyDescent="0.25">
      <c r="D97" s="66" t="s">
        <v>147</v>
      </c>
      <c r="E97" s="110"/>
      <c r="F97" s="195">
        <f t="shared" si="6"/>
        <v>37.901246538461535</v>
      </c>
      <c r="G97" s="21">
        <f t="shared" si="7"/>
        <v>48.860639569200131</v>
      </c>
      <c r="H97" s="111">
        <f t="shared" si="8"/>
        <v>48.860639569200131</v>
      </c>
      <c r="I97" s="421">
        <v>0.39</v>
      </c>
      <c r="J97" s="67">
        <f t="shared" si="9"/>
        <v>125.28369120307725</v>
      </c>
      <c r="K97" s="421">
        <v>0.39</v>
      </c>
      <c r="L97" s="67">
        <f t="shared" si="10"/>
        <v>125.28369120307725</v>
      </c>
      <c r="M97" s="421">
        <v>0.39</v>
      </c>
      <c r="N97" s="67">
        <f t="shared" si="11"/>
        <v>125.28369120307725</v>
      </c>
    </row>
    <row r="98" spans="4:14" x14ac:dyDescent="0.25">
      <c r="D98" s="66" t="s">
        <v>148</v>
      </c>
      <c r="E98" s="110"/>
      <c r="F98" s="195">
        <f t="shared" si="6"/>
        <v>51.069596538461546</v>
      </c>
      <c r="G98" s="21">
        <f t="shared" si="7"/>
        <v>62.028989569200142</v>
      </c>
      <c r="H98" s="111">
        <f t="shared" si="8"/>
        <v>62.028989569200142</v>
      </c>
      <c r="I98" s="421">
        <v>0.39</v>
      </c>
      <c r="J98" s="67">
        <f t="shared" si="9"/>
        <v>159.04869120307728</v>
      </c>
      <c r="K98" s="421">
        <v>0.39</v>
      </c>
      <c r="L98" s="67">
        <f t="shared" si="10"/>
        <v>159.04869120307728</v>
      </c>
      <c r="M98" s="421">
        <v>0.39</v>
      </c>
      <c r="N98" s="67">
        <f t="shared" si="11"/>
        <v>159.04869120307728</v>
      </c>
    </row>
    <row r="99" spans="4:14" x14ac:dyDescent="0.25">
      <c r="D99" s="66" t="s">
        <v>58</v>
      </c>
      <c r="E99" s="110"/>
      <c r="F99" s="195">
        <f t="shared" si="6"/>
        <v>38.328936538461534</v>
      </c>
      <c r="G99" s="21">
        <f t="shared" si="7"/>
        <v>49.28832956920013</v>
      </c>
      <c r="H99" s="111">
        <f t="shared" si="8"/>
        <v>49.28832956920013</v>
      </c>
      <c r="I99" s="421">
        <v>0.39</v>
      </c>
      <c r="J99" s="67">
        <f>$H99/I99</f>
        <v>126.38033222871827</v>
      </c>
      <c r="K99" s="421">
        <v>0.39</v>
      </c>
      <c r="L99" s="67">
        <f>$H99/K99</f>
        <v>126.38033222871827</v>
      </c>
      <c r="M99" s="421">
        <v>0.39</v>
      </c>
      <c r="N99" s="67">
        <f>$H99/M99</f>
        <v>126.38033222871827</v>
      </c>
    </row>
    <row r="100" spans="4:14" x14ac:dyDescent="0.25">
      <c r="F100" s="103" t="s">
        <v>330</v>
      </c>
      <c r="G100" s="159">
        <f>SUM(G92:G99)</f>
        <v>490.62173193821644</v>
      </c>
      <c r="H100" s="102" t="b">
        <f>G100=F$81</f>
        <v>1</v>
      </c>
    </row>
    <row r="101" spans="4:14" x14ac:dyDescent="0.25">
      <c r="G101" s="117"/>
    </row>
    <row r="102" spans="4:14" ht="30" x14ac:dyDescent="0.25">
      <c r="D102" s="193" t="s">
        <v>331</v>
      </c>
      <c r="E102" s="194"/>
      <c r="F102" s="112" t="s">
        <v>323</v>
      </c>
      <c r="G102" s="112" t="s">
        <v>324</v>
      </c>
      <c r="H102" s="197" t="s">
        <v>325</v>
      </c>
      <c r="I102" s="112" t="s">
        <v>326</v>
      </c>
      <c r="J102" s="34" t="s">
        <v>327</v>
      </c>
    </row>
    <row r="103" spans="4:14" x14ac:dyDescent="0.25">
      <c r="D103" s="66" t="s">
        <v>142</v>
      </c>
      <c r="E103" s="110"/>
      <c r="F103" s="195">
        <f t="shared" ref="F103:F110" si="12">IFERROR(G35+(G35*$E$55)+(G35*$E$56)+(G35*$E$57)+($E$58/$E$7*G17)+($E$59*G35),0)</f>
        <v>0</v>
      </c>
      <c r="G103" s="196">
        <f t="shared" ref="G103:G110" si="13">IFERROR(F103+($G$85*G17),0)</f>
        <v>0</v>
      </c>
      <c r="H103" s="198">
        <f t="shared" ref="H103:H110" si="14">IF(G17&gt;0,G103/G17,0)</f>
        <v>0</v>
      </c>
      <c r="I103" s="421">
        <v>0.39</v>
      </c>
      <c r="J103" s="67">
        <f t="shared" ref="J103:J110" si="15">$H103/I103</f>
        <v>0</v>
      </c>
    </row>
    <row r="104" spans="4:14" x14ac:dyDescent="0.25">
      <c r="D104" s="66" t="s">
        <v>143</v>
      </c>
      <c r="E104" s="110"/>
      <c r="F104" s="195">
        <f t="shared" si="12"/>
        <v>146.59904134615383</v>
      </c>
      <c r="G104" s="196">
        <f t="shared" si="13"/>
        <v>182.55178194222066</v>
      </c>
      <c r="H104" s="198">
        <f t="shared" si="14"/>
        <v>55.318721800672932</v>
      </c>
      <c r="I104" s="421">
        <v>0.39</v>
      </c>
      <c r="J104" s="67">
        <f t="shared" si="15"/>
        <v>141.84287641198188</v>
      </c>
    </row>
    <row r="105" spans="4:14" x14ac:dyDescent="0.25">
      <c r="D105" s="66" t="s">
        <v>144</v>
      </c>
      <c r="E105" s="110"/>
      <c r="F105" s="195">
        <f t="shared" si="12"/>
        <v>88.842522461538465</v>
      </c>
      <c r="G105" s="196">
        <f t="shared" si="13"/>
        <v>106.27415426569208</v>
      </c>
      <c r="H105" s="198">
        <f t="shared" si="14"/>
        <v>66.421346416057546</v>
      </c>
      <c r="I105" s="421">
        <v>0.39</v>
      </c>
      <c r="J105" s="67">
        <f t="shared" si="15"/>
        <v>170.31114465655781</v>
      </c>
    </row>
    <row r="106" spans="4:14" x14ac:dyDescent="0.25">
      <c r="D106" s="66" t="s">
        <v>145</v>
      </c>
      <c r="E106" s="110"/>
      <c r="F106" s="195">
        <f t="shared" si="12"/>
        <v>60.118616538461538</v>
      </c>
      <c r="G106" s="196">
        <f t="shared" si="13"/>
        <v>71.013386416057543</v>
      </c>
      <c r="H106" s="198">
        <f t="shared" si="14"/>
        <v>71.013386416057543</v>
      </c>
      <c r="I106" s="421">
        <v>0.39</v>
      </c>
      <c r="J106" s="67">
        <f t="shared" si="15"/>
        <v>182.08560619501932</v>
      </c>
    </row>
    <row r="107" spans="4:14" x14ac:dyDescent="0.25">
      <c r="D107" s="66" t="s">
        <v>146</v>
      </c>
      <c r="E107" s="110"/>
      <c r="F107" s="195">
        <f t="shared" si="12"/>
        <v>6.3720216538461534</v>
      </c>
      <c r="G107" s="196">
        <f t="shared" si="13"/>
        <v>7.461498641605754</v>
      </c>
      <c r="H107" s="198">
        <f t="shared" si="14"/>
        <v>74.614986416057533</v>
      </c>
      <c r="I107" s="421">
        <v>0.39</v>
      </c>
      <c r="J107" s="67">
        <f t="shared" si="15"/>
        <v>191.32047798989112</v>
      </c>
    </row>
    <row r="108" spans="4:14" x14ac:dyDescent="0.25">
      <c r="D108" s="66" t="s">
        <v>147</v>
      </c>
      <c r="E108" s="110"/>
      <c r="F108" s="195">
        <f t="shared" si="12"/>
        <v>3.7901246538461542</v>
      </c>
      <c r="G108" s="196">
        <f t="shared" si="13"/>
        <v>4.8796016416057553</v>
      </c>
      <c r="H108" s="198">
        <f t="shared" si="14"/>
        <v>48.796016416057547</v>
      </c>
      <c r="I108" s="421">
        <v>0.39</v>
      </c>
      <c r="J108" s="67">
        <f t="shared" si="15"/>
        <v>125.11799081040397</v>
      </c>
    </row>
    <row r="109" spans="4:14" x14ac:dyDescent="0.25">
      <c r="D109" s="66" t="s">
        <v>148</v>
      </c>
      <c r="E109" s="110"/>
      <c r="F109" s="195">
        <f t="shared" si="12"/>
        <v>102.13919307692309</v>
      </c>
      <c r="G109" s="196">
        <f t="shared" si="13"/>
        <v>123.92873283211512</v>
      </c>
      <c r="H109" s="198">
        <f t="shared" si="14"/>
        <v>61.964366416057558</v>
      </c>
      <c r="I109" s="421">
        <v>0.39</v>
      </c>
      <c r="J109" s="67">
        <f t="shared" si="15"/>
        <v>158.88299081040398</v>
      </c>
    </row>
    <row r="110" spans="4:14" x14ac:dyDescent="0.25">
      <c r="D110" s="66" t="s">
        <v>58</v>
      </c>
      <c r="E110" s="110"/>
      <c r="F110" s="195">
        <f t="shared" si="12"/>
        <v>3.8328936538461544</v>
      </c>
      <c r="G110" s="196">
        <f t="shared" si="13"/>
        <v>4.9223706416057551</v>
      </c>
      <c r="H110" s="198">
        <f t="shared" si="14"/>
        <v>49.223706416057546</v>
      </c>
      <c r="I110" s="421">
        <v>0.39</v>
      </c>
      <c r="J110" s="67">
        <f t="shared" si="15"/>
        <v>126.21463183604499</v>
      </c>
    </row>
    <row r="111" spans="4:14" x14ac:dyDescent="0.25">
      <c r="F111" s="103" t="s">
        <v>330</v>
      </c>
      <c r="G111" s="159">
        <f>SUM(G103:G110)</f>
        <v>501.03152638090262</v>
      </c>
      <c r="H111" s="102" t="b">
        <f>G111=G$81</f>
        <v>1</v>
      </c>
    </row>
    <row r="113" spans="4:10" ht="30" x14ac:dyDescent="0.25">
      <c r="D113" s="193" t="s">
        <v>332</v>
      </c>
      <c r="E113" s="194"/>
      <c r="F113" s="112" t="s">
        <v>323</v>
      </c>
      <c r="G113" s="112" t="s">
        <v>324</v>
      </c>
      <c r="H113" s="197" t="s">
        <v>325</v>
      </c>
      <c r="I113" s="112" t="s">
        <v>326</v>
      </c>
      <c r="J113" s="34" t="s">
        <v>327</v>
      </c>
    </row>
    <row r="114" spans="4:10" x14ac:dyDescent="0.25">
      <c r="D114" s="66" t="s">
        <v>142</v>
      </c>
      <c r="E114" s="110"/>
      <c r="F114" s="195">
        <f t="shared" ref="F114:F121" si="16">IFERROR(H35+(H35*$E$55)+(H35*$E$56)+(H35*$E$57)+($E$58/$E$7*H17)+($E$59*H35),0)</f>
        <v>0</v>
      </c>
      <c r="G114" s="196">
        <f t="shared" ref="G114:G121" si="17">IFERROR(F114+($H$85*H17),0)</f>
        <v>0</v>
      </c>
      <c r="H114" s="198">
        <f t="shared" ref="H114:H121" si="18">IF(H17&gt;0,G114/H17,0)</f>
        <v>0</v>
      </c>
      <c r="I114" s="421">
        <v>0.39</v>
      </c>
      <c r="J114" s="67">
        <f t="shared" ref="J114:J121" si="19">$H114/I114</f>
        <v>0</v>
      </c>
    </row>
    <row r="115" spans="4:10" x14ac:dyDescent="0.25">
      <c r="D115" s="66" t="s">
        <v>143</v>
      </c>
      <c r="E115" s="110"/>
      <c r="F115" s="195">
        <f t="shared" si="16"/>
        <v>444.23951923076925</v>
      </c>
      <c r="G115" s="196">
        <f t="shared" si="17"/>
        <v>537.43147781196478</v>
      </c>
      <c r="H115" s="198">
        <f t="shared" si="18"/>
        <v>53.743147781196477</v>
      </c>
      <c r="I115" s="421">
        <v>0.39</v>
      </c>
      <c r="J115" s="67">
        <f t="shared" si="19"/>
        <v>137.80294302870891</v>
      </c>
    </row>
    <row r="116" spans="4:10" x14ac:dyDescent="0.25">
      <c r="D116" s="66" t="s">
        <v>144</v>
      </c>
      <c r="E116" s="110"/>
      <c r="F116" s="195">
        <f t="shared" si="16"/>
        <v>0</v>
      </c>
      <c r="G116" s="196">
        <f t="shared" si="17"/>
        <v>0</v>
      </c>
      <c r="H116" s="198">
        <f t="shared" si="18"/>
        <v>0</v>
      </c>
      <c r="I116" s="421">
        <v>0.39</v>
      </c>
      <c r="J116" s="67">
        <f t="shared" si="19"/>
        <v>0</v>
      </c>
    </row>
    <row r="117" spans="4:10" x14ac:dyDescent="0.25">
      <c r="D117" s="66" t="s">
        <v>145</v>
      </c>
      <c r="E117" s="110"/>
      <c r="F117" s="195">
        <f t="shared" si="16"/>
        <v>60.118616538461538</v>
      </c>
      <c r="G117" s="196">
        <f t="shared" si="17"/>
        <v>69.43781239658108</v>
      </c>
      <c r="H117" s="198">
        <f t="shared" si="18"/>
        <v>69.43781239658108</v>
      </c>
      <c r="I117" s="421">
        <v>0.39</v>
      </c>
      <c r="J117" s="67">
        <f t="shared" si="19"/>
        <v>178.04567281174636</v>
      </c>
    </row>
    <row r="118" spans="4:10" x14ac:dyDescent="0.25">
      <c r="D118" s="66" t="s">
        <v>146</v>
      </c>
      <c r="E118" s="110"/>
      <c r="F118" s="195">
        <f t="shared" si="16"/>
        <v>0</v>
      </c>
      <c r="G118" s="196">
        <f t="shared" si="17"/>
        <v>0</v>
      </c>
      <c r="H118" s="198">
        <f t="shared" si="18"/>
        <v>0</v>
      </c>
      <c r="I118" s="421">
        <v>0.39</v>
      </c>
      <c r="J118" s="67">
        <f t="shared" si="19"/>
        <v>0</v>
      </c>
    </row>
    <row r="119" spans="4:10" x14ac:dyDescent="0.25">
      <c r="D119" s="66" t="s">
        <v>147</v>
      </c>
      <c r="E119" s="110"/>
      <c r="F119" s="195">
        <f t="shared" si="16"/>
        <v>0</v>
      </c>
      <c r="G119" s="196">
        <f t="shared" si="17"/>
        <v>0</v>
      </c>
      <c r="H119" s="198">
        <f t="shared" si="18"/>
        <v>0</v>
      </c>
      <c r="I119" s="421">
        <v>0.39</v>
      </c>
      <c r="J119" s="67">
        <f t="shared" si="19"/>
        <v>0</v>
      </c>
    </row>
    <row r="120" spans="4:10" x14ac:dyDescent="0.25">
      <c r="D120" s="66" t="s">
        <v>148</v>
      </c>
      <c r="E120" s="110"/>
      <c r="F120" s="195">
        <f t="shared" si="16"/>
        <v>510.69596538461542</v>
      </c>
      <c r="G120" s="196">
        <f t="shared" si="17"/>
        <v>603.88792396581096</v>
      </c>
      <c r="H120" s="198">
        <f t="shared" si="18"/>
        <v>60.388792396581096</v>
      </c>
      <c r="I120" s="421">
        <v>0.39</v>
      </c>
      <c r="J120" s="67">
        <f t="shared" si="19"/>
        <v>154.84305742713101</v>
      </c>
    </row>
    <row r="121" spans="4:10" x14ac:dyDescent="0.25">
      <c r="D121" s="66" t="s">
        <v>58</v>
      </c>
      <c r="E121" s="110"/>
      <c r="F121" s="195">
        <f t="shared" si="16"/>
        <v>0</v>
      </c>
      <c r="G121" s="196">
        <f t="shared" si="17"/>
        <v>0</v>
      </c>
      <c r="H121" s="198">
        <f t="shared" si="18"/>
        <v>0</v>
      </c>
      <c r="I121" s="421">
        <v>0.39</v>
      </c>
      <c r="J121" s="67">
        <f t="shared" si="19"/>
        <v>0</v>
      </c>
    </row>
    <row r="122" spans="4:10" x14ac:dyDescent="0.25">
      <c r="F122" s="103" t="s">
        <v>330</v>
      </c>
      <c r="G122" s="159">
        <f>SUM(G114:G121)</f>
        <v>1210.7572141743567</v>
      </c>
      <c r="H122" s="102" t="b">
        <f>G122=H$81</f>
        <v>1</v>
      </c>
    </row>
  </sheetData>
  <sheetProtection sheet="1"/>
  <hyperlinks>
    <hyperlink ref="E34" location="Wages!A1" display="Wages!A1" xr:uid="{1CBBBA5D-B233-43D2-B1BD-241C0BEFC63A}"/>
    <hyperlink ref="E28" location="Wages!A1" display="Wages!A1" xr:uid="{2EB2E6C4-1B17-4032-9CE3-2827EC80ABA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788E8-B99A-4782-A91F-B61751261989}">
  <sheetPr>
    <tabColor theme="5" tint="0.39997558519241921"/>
  </sheetPr>
  <dimension ref="B1:O108"/>
  <sheetViews>
    <sheetView showGridLines="0" tabSelected="1" zoomScale="90" zoomScaleNormal="90" workbookViewId="0">
      <pane xSplit="5" ySplit="4" topLeftCell="F13" activePane="bottomRight" state="frozen"/>
      <selection pane="topRight" activeCell="G1" sqref="G1"/>
      <selection pane="bottomLeft" activeCell="A5" sqref="A5"/>
      <selection pane="bottomRight" activeCell="G12" sqref="G12"/>
    </sheetView>
  </sheetViews>
  <sheetFormatPr defaultColWidth="15.7109375" defaultRowHeight="15" x14ac:dyDescent="0.25"/>
  <cols>
    <col min="1" max="3" width="2.5703125" customWidth="1"/>
    <col min="4" max="4" width="37.5703125" customWidth="1"/>
    <col min="5" max="5" width="20.140625" style="5" bestFit="1" customWidth="1"/>
    <col min="6" max="6" width="20.5703125" customWidth="1"/>
    <col min="7" max="7" width="45.7109375" style="369" customWidth="1"/>
    <col min="8" max="8" width="1.5703125" style="28" customWidth="1"/>
    <col min="9" max="9" width="2.5703125" customWidth="1"/>
    <col min="10" max="10" width="29.85546875" customWidth="1"/>
  </cols>
  <sheetData>
    <row r="1" spans="2:15" ht="15.75" x14ac:dyDescent="0.25">
      <c r="B1" s="6" t="s">
        <v>25</v>
      </c>
      <c r="C1" s="6"/>
    </row>
    <row r="2" spans="2:15" ht="15.75" x14ac:dyDescent="0.25">
      <c r="B2" s="7" t="s">
        <v>333</v>
      </c>
      <c r="C2" s="7"/>
    </row>
    <row r="3" spans="2:15" ht="15.75" x14ac:dyDescent="0.25">
      <c r="B3" s="8" t="s">
        <v>27</v>
      </c>
      <c r="C3" s="8"/>
    </row>
    <row r="4" spans="2:15" ht="15.75" x14ac:dyDescent="0.25">
      <c r="E4" s="310" t="s">
        <v>334</v>
      </c>
      <c r="F4" s="312" t="s">
        <v>335</v>
      </c>
      <c r="G4" s="371" t="s">
        <v>200</v>
      </c>
      <c r="J4" s="35" t="s">
        <v>336</v>
      </c>
    </row>
    <row r="5" spans="2:15" s="11" customFormat="1" x14ac:dyDescent="0.25">
      <c r="B5" s="10" t="s">
        <v>337</v>
      </c>
      <c r="C5" s="10"/>
      <c r="G5" s="372"/>
      <c r="I5" s="28"/>
    </row>
    <row r="6" spans="2:15" s="75" customFormat="1" x14ac:dyDescent="0.25">
      <c r="B6" s="74"/>
      <c r="C6" s="74"/>
      <c r="G6" s="373"/>
      <c r="H6" s="11"/>
      <c r="I6"/>
      <c r="J6"/>
      <c r="K6"/>
      <c r="L6"/>
      <c r="M6"/>
      <c r="N6"/>
      <c r="O6"/>
    </row>
    <row r="7" spans="2:15" s="77" customFormat="1" x14ac:dyDescent="0.25">
      <c r="B7" s="78" t="s">
        <v>338</v>
      </c>
      <c r="C7" s="76"/>
      <c r="F7" s="422">
        <v>847</v>
      </c>
      <c r="G7" s="374" t="s">
        <v>339</v>
      </c>
      <c r="H7" s="367"/>
      <c r="I7"/>
      <c r="J7"/>
      <c r="K7"/>
      <c r="L7"/>
      <c r="M7"/>
      <c r="N7"/>
      <c r="O7"/>
    </row>
    <row r="8" spans="2:15" s="75" customFormat="1" ht="15.75" thickBot="1" x14ac:dyDescent="0.3">
      <c r="B8" s="74"/>
      <c r="C8" s="74"/>
      <c r="G8" s="373"/>
      <c r="H8" s="11"/>
      <c r="I8"/>
      <c r="J8"/>
      <c r="K8"/>
      <c r="L8"/>
      <c r="M8"/>
      <c r="N8"/>
      <c r="O8"/>
    </row>
    <row r="9" spans="2:15" ht="15.75" thickBot="1" x14ac:dyDescent="0.3">
      <c r="B9" s="3" t="s">
        <v>283</v>
      </c>
      <c r="E9" s="423" t="s">
        <v>47</v>
      </c>
      <c r="J9" s="1" t="s">
        <v>340</v>
      </c>
    </row>
    <row r="10" spans="2:15" x14ac:dyDescent="0.25">
      <c r="C10" s="1" t="s">
        <v>284</v>
      </c>
      <c r="E10" s="113"/>
      <c r="J10" s="377"/>
      <c r="K10" s="376" t="s">
        <v>341</v>
      </c>
      <c r="L10" s="376" t="s">
        <v>342</v>
      </c>
      <c r="M10" s="376" t="s">
        <v>47</v>
      </c>
      <c r="N10" s="376" t="s">
        <v>343</v>
      </c>
    </row>
    <row r="11" spans="2:15" x14ac:dyDescent="0.25">
      <c r="D11" t="str">
        <f>'Wage Assumptions'!C37</f>
        <v xml:space="preserve">Program Manager/Director </v>
      </c>
      <c r="E11" s="144">
        <f>INDEX($J$11:$N$22,MATCH($D11,$J$11:$J$22,0),MATCH($E$9,$J$10:$N$10,0))</f>
        <v>2.0551567812618059E-3</v>
      </c>
      <c r="F11" s="114">
        <f>E11*F$7</f>
        <v>1.7407177937287497</v>
      </c>
      <c r="J11" s="20" t="str">
        <f>D11</f>
        <v xml:space="preserve">Program Manager/Director </v>
      </c>
      <c r="K11" s="379">
        <f t="shared" ref="K11:K22" si="0">M11*847</f>
        <v>1.7407177937287497</v>
      </c>
      <c r="L11" s="426">
        <f>K11</f>
        <v>1.7407177937287497</v>
      </c>
      <c r="M11" s="380">
        <v>2.0551567812618059E-3</v>
      </c>
      <c r="N11" s="378">
        <f t="shared" ref="N11:N22" si="1">L11/847</f>
        <v>2.0551567812618059E-3</v>
      </c>
    </row>
    <row r="12" spans="2:15" x14ac:dyDescent="0.25">
      <c r="D12" t="str">
        <f>'Wage Assumptions'!C38</f>
        <v>Fiscal Manager</v>
      </c>
      <c r="E12" s="144">
        <f>INDEX($J$11:$N$22,MATCH($D12,$J$11:$J$22,0),MATCH($E$9,$J$10:$N$10,0))</f>
        <v>0</v>
      </c>
      <c r="F12" s="114">
        <f>E12*F$7</f>
        <v>0</v>
      </c>
      <c r="J12" s="20" t="str">
        <f>D12</f>
        <v>Fiscal Manager</v>
      </c>
      <c r="K12" s="379">
        <f t="shared" si="0"/>
        <v>0</v>
      </c>
      <c r="L12" s="426">
        <v>0.5</v>
      </c>
      <c r="M12" s="380">
        <v>0</v>
      </c>
      <c r="N12" s="378">
        <f t="shared" si="1"/>
        <v>5.9031877213695393E-4</v>
      </c>
    </row>
    <row r="13" spans="2:15" x14ac:dyDescent="0.25">
      <c r="D13" t="str">
        <f>'Wage Assumptions'!C39</f>
        <v>LIC Coordinator</v>
      </c>
      <c r="E13" s="144">
        <f>INDEX($J$11:$N$22,MATCH($D13,$J$11:$J$22,0),MATCH($E$9,$J$10:$N$10,0))</f>
        <v>5.1010596175641513E-4</v>
      </c>
      <c r="F13" s="114">
        <f>E13*F$7</f>
        <v>0.43205974960768362</v>
      </c>
      <c r="J13" s="20" t="str">
        <f>D13</f>
        <v>LIC Coordinator</v>
      </c>
      <c r="K13" s="379">
        <f t="shared" si="0"/>
        <v>0.43205974960768362</v>
      </c>
      <c r="L13" s="426">
        <f>K13</f>
        <v>0.43205974960768362</v>
      </c>
      <c r="M13" s="380">
        <v>5.1010596175641513E-4</v>
      </c>
      <c r="N13" s="378">
        <f t="shared" si="1"/>
        <v>5.1010596175641513E-4</v>
      </c>
    </row>
    <row r="14" spans="2:15" x14ac:dyDescent="0.25">
      <c r="D14" t="str">
        <f>'Wage Assumptions'!C40</f>
        <v>Administrative and Office Support</v>
      </c>
      <c r="E14" s="144">
        <f>INDEX($J$11:$N$22,MATCH($D14,$J$11:$J$22,0),MATCH($E$9,$J$10:$N$10,0))</f>
        <v>2.2940654650765741E-3</v>
      </c>
      <c r="F14" s="114">
        <f>E14*F$7</f>
        <v>1.9430734489198582</v>
      </c>
      <c r="J14" s="20" t="str">
        <f>D14</f>
        <v>Administrative and Office Support</v>
      </c>
      <c r="K14" s="379">
        <f t="shared" si="0"/>
        <v>1.9430734489198582</v>
      </c>
      <c r="L14" s="426">
        <v>3.5</v>
      </c>
      <c r="M14" s="380">
        <v>2.2940654650765741E-3</v>
      </c>
      <c r="N14" s="378">
        <f t="shared" si="1"/>
        <v>4.1322314049586778E-3</v>
      </c>
    </row>
    <row r="15" spans="2:15" x14ac:dyDescent="0.25">
      <c r="D15" s="24" t="s">
        <v>287</v>
      </c>
      <c r="E15" s="13"/>
      <c r="F15" s="370">
        <f>SUM(F11:F14)</f>
        <v>4.1158509922562914</v>
      </c>
      <c r="J15" s="20" t="str">
        <f t="shared" ref="J15:J22" si="2">D18</f>
        <v>Service Coordinator</v>
      </c>
      <c r="K15" s="379">
        <f t="shared" si="0"/>
        <v>19.553551695504648</v>
      </c>
      <c r="L15" s="426">
        <f>K15</f>
        <v>19.553551695504648</v>
      </c>
      <c r="M15" s="380">
        <v>2.3085657255613515E-2</v>
      </c>
      <c r="N15" s="378">
        <f t="shared" si="1"/>
        <v>2.3085657255613515E-2</v>
      </c>
    </row>
    <row r="16" spans="2:15" x14ac:dyDescent="0.25">
      <c r="F16" s="115"/>
      <c r="J16" s="20" t="str">
        <f t="shared" si="2"/>
        <v>Lead Service Coordinator</v>
      </c>
      <c r="K16" s="379">
        <f t="shared" si="0"/>
        <v>1.3974329670654007</v>
      </c>
      <c r="L16" s="426">
        <v>4</v>
      </c>
      <c r="M16" s="380">
        <v>1.6498618265234953E-3</v>
      </c>
      <c r="N16" s="378">
        <f t="shared" si="1"/>
        <v>4.7225501770956314E-3</v>
      </c>
    </row>
    <row r="17" spans="2:14" x14ac:dyDescent="0.25">
      <c r="C17" s="1" t="s">
        <v>288</v>
      </c>
      <c r="E17"/>
      <c r="F17" s="115"/>
      <c r="J17" s="20" t="str">
        <f t="shared" si="2"/>
        <v>Intake/Transition Coordinator</v>
      </c>
      <c r="K17" s="379">
        <f t="shared" si="0"/>
        <v>0.41798026067245941</v>
      </c>
      <c r="L17" s="426">
        <v>1</v>
      </c>
      <c r="M17" s="380">
        <v>4.9348318851530034E-4</v>
      </c>
      <c r="N17" s="378">
        <f t="shared" si="1"/>
        <v>1.1806375442739079E-3</v>
      </c>
    </row>
    <row r="18" spans="2:14" x14ac:dyDescent="0.25">
      <c r="C18" s="1"/>
      <c r="D18" t="str">
        <f>'Wage Assumptions'!C41</f>
        <v>Service Coordinator</v>
      </c>
      <c r="E18" s="144">
        <f>INDEX($J$11:$N$22,MATCH($D18,$J$11:$J$22,0),MATCH($E$9,$J$10:$N$10,0))</f>
        <v>2.3085657255613515E-2</v>
      </c>
      <c r="F18" s="116">
        <f t="shared" ref="F18:F25" si="3">E18*F$7</f>
        <v>19.553551695504648</v>
      </c>
      <c r="J18" s="20" t="str">
        <f t="shared" si="2"/>
        <v>Social Emotional Consultant*</v>
      </c>
      <c r="K18" s="379">
        <f t="shared" si="0"/>
        <v>0.61253030371828765</v>
      </c>
      <c r="L18" s="426">
        <f>K18</f>
        <v>0.61253030371828765</v>
      </c>
      <c r="M18" s="380">
        <v>7.2317627357531015E-4</v>
      </c>
      <c r="N18" s="378">
        <f t="shared" si="1"/>
        <v>7.2317627357531005E-4</v>
      </c>
    </row>
    <row r="19" spans="2:14" x14ac:dyDescent="0.25">
      <c r="C19" s="1"/>
      <c r="D19" t="str">
        <f>'Wage Assumptions'!C42</f>
        <v>Lead Service Coordinator</v>
      </c>
      <c r="E19" s="144">
        <f t="shared" ref="E19:E25" si="4">INDEX($J$11:$N$22,MATCH($D19,$J$11:$J$22,0),MATCH($E$9,$J$10:$N$10,0))</f>
        <v>1.6498618265234953E-3</v>
      </c>
      <c r="F19" s="116">
        <f t="shared" si="3"/>
        <v>1.3974329670654007</v>
      </c>
      <c r="J19" s="20" t="str">
        <f t="shared" si="2"/>
        <v>Developmental Pediatric Consultant</v>
      </c>
      <c r="K19" s="379">
        <f t="shared" si="0"/>
        <v>0.23075833309116273</v>
      </c>
      <c r="L19" s="426">
        <f>K19</f>
        <v>0.23075833309116273</v>
      </c>
      <c r="M19" s="380">
        <v>2.7244195170149084E-4</v>
      </c>
      <c r="N19" s="378">
        <f t="shared" si="1"/>
        <v>2.7244195170149084E-4</v>
      </c>
    </row>
    <row r="20" spans="2:14" x14ac:dyDescent="0.25">
      <c r="C20" s="1"/>
      <c r="D20" t="str">
        <f>'Wage Assumptions'!C43</f>
        <v>Intake/Transition Coordinator</v>
      </c>
      <c r="E20" s="144">
        <f t="shared" si="4"/>
        <v>4.9348318851530034E-4</v>
      </c>
      <c r="F20" s="116">
        <f t="shared" si="3"/>
        <v>0.41798026067245941</v>
      </c>
      <c r="J20" s="20" t="str">
        <f t="shared" si="2"/>
        <v>Assistive Technology Specialist</v>
      </c>
      <c r="K20" s="379">
        <f t="shared" si="0"/>
        <v>0</v>
      </c>
      <c r="L20" s="426">
        <v>0.5</v>
      </c>
      <c r="M20" s="380">
        <v>0</v>
      </c>
      <c r="N20" s="378">
        <f t="shared" si="1"/>
        <v>5.9031877213695393E-4</v>
      </c>
    </row>
    <row r="21" spans="2:14" x14ac:dyDescent="0.25">
      <c r="D21" t="str">
        <f>'Wage Assumptions'!C44</f>
        <v>Social Emotional Consultant*</v>
      </c>
      <c r="E21" s="144">
        <f t="shared" si="4"/>
        <v>7.2317627357531015E-4</v>
      </c>
      <c r="F21" s="116">
        <f t="shared" si="3"/>
        <v>0.61253030371828765</v>
      </c>
      <c r="J21" s="20" t="str">
        <f t="shared" si="2"/>
        <v xml:space="preserve">Parent Liaison </v>
      </c>
      <c r="K21" s="379">
        <f t="shared" si="0"/>
        <v>0.57039913953750254</v>
      </c>
      <c r="L21" s="426">
        <f>K21</f>
        <v>0.57039913953750254</v>
      </c>
      <c r="M21" s="380">
        <v>6.7343463935950717E-4</v>
      </c>
      <c r="N21" s="378">
        <f t="shared" si="1"/>
        <v>6.7343463935950717E-4</v>
      </c>
    </row>
    <row r="22" spans="2:14" x14ac:dyDescent="0.25">
      <c r="D22" t="str">
        <f>'Wage Assumptions'!C45</f>
        <v>Developmental Pediatric Consultant</v>
      </c>
      <c r="E22" s="144">
        <f t="shared" si="4"/>
        <v>2.7244195170149084E-4</v>
      </c>
      <c r="F22" s="116">
        <f t="shared" si="3"/>
        <v>0.23075833309116273</v>
      </c>
      <c r="J22" s="20" t="str">
        <f t="shared" si="2"/>
        <v xml:space="preserve">Other Specialized Support </v>
      </c>
      <c r="K22" s="379">
        <f t="shared" si="0"/>
        <v>0.27865991706866988</v>
      </c>
      <c r="L22" s="426">
        <f>K22</f>
        <v>0.27865991706866988</v>
      </c>
      <c r="M22" s="380">
        <v>3.2899636017552527E-4</v>
      </c>
      <c r="N22" s="378">
        <f t="shared" si="1"/>
        <v>3.2899636017552522E-4</v>
      </c>
    </row>
    <row r="23" spans="2:14" x14ac:dyDescent="0.25">
      <c r="D23" t="str">
        <f>'Wage Assumptions'!C46</f>
        <v>Assistive Technology Specialist</v>
      </c>
      <c r="E23" s="144">
        <f t="shared" si="4"/>
        <v>0</v>
      </c>
      <c r="F23" s="116">
        <f t="shared" si="3"/>
        <v>0</v>
      </c>
    </row>
    <row r="24" spans="2:14" x14ac:dyDescent="0.25">
      <c r="D24" t="str">
        <f>'Wage Assumptions'!C47</f>
        <v xml:space="preserve">Parent Liaison </v>
      </c>
      <c r="E24" s="144">
        <f t="shared" si="4"/>
        <v>6.7343463935950717E-4</v>
      </c>
      <c r="F24" s="116">
        <f t="shared" si="3"/>
        <v>0.57039913953750254</v>
      </c>
    </row>
    <row r="25" spans="2:14" x14ac:dyDescent="0.25">
      <c r="D25" t="str">
        <f>'Wage Assumptions'!C48</f>
        <v xml:space="preserve">Other Specialized Support </v>
      </c>
      <c r="E25" s="144">
        <f t="shared" si="4"/>
        <v>3.2899636017552527E-4</v>
      </c>
      <c r="F25" s="116">
        <f t="shared" si="3"/>
        <v>0.27865991706866988</v>
      </c>
    </row>
    <row r="26" spans="2:14" x14ac:dyDescent="0.25">
      <c r="D26" s="24" t="s">
        <v>289</v>
      </c>
      <c r="E26" s="55"/>
      <c r="F26" s="370">
        <f>SUM(F18:F25)</f>
        <v>23.061312616658132</v>
      </c>
    </row>
    <row r="27" spans="2:14" ht="15.75" thickBot="1" x14ac:dyDescent="0.3"/>
    <row r="28" spans="2:14" ht="15.75" thickBot="1" x14ac:dyDescent="0.3">
      <c r="B28" s="3" t="s">
        <v>290</v>
      </c>
      <c r="E28" s="423" t="s">
        <v>400</v>
      </c>
      <c r="G28" s="257" t="s">
        <v>404</v>
      </c>
    </row>
    <row r="29" spans="2:14" x14ac:dyDescent="0.25">
      <c r="C29" s="1" t="s">
        <v>291</v>
      </c>
      <c r="E29"/>
    </row>
    <row r="30" spans="2:14" x14ac:dyDescent="0.25">
      <c r="D30" t="str">
        <f>D11</f>
        <v xml:space="preserve">Program Manager/Director </v>
      </c>
      <c r="E30" s="118">
        <f>INDEX('Wage Assumptions'!$H$37:$J$48,
       MATCH($D30,'Wage Assumptions'!$C$37:$C$48,0),
       MATCH($E$28,{"Current Wages","Education Level Wages","Custom Wages"},0))</f>
        <v>82213.848322316524</v>
      </c>
      <c r="F30" s="58">
        <f>E30*F11</f>
        <v>143111.10866557289</v>
      </c>
    </row>
    <row r="31" spans="2:14" x14ac:dyDescent="0.25">
      <c r="D31" t="str">
        <f>D12</f>
        <v>Fiscal Manager</v>
      </c>
      <c r="E31" s="118">
        <f>INDEX('Wage Assumptions'!$H$37:$J$48,
       MATCH($D31,'Wage Assumptions'!$C$37:$C$48,0),
       MATCH($E$28,{"Current Wages","Education Level Wages","Custom Wages"},0))</f>
        <v>85800</v>
      </c>
      <c r="F31" s="58">
        <f>E31*F12</f>
        <v>0</v>
      </c>
    </row>
    <row r="32" spans="2:14" x14ac:dyDescent="0.25">
      <c r="D32" t="str">
        <f>D13</f>
        <v>LIC Coordinator</v>
      </c>
      <c r="E32" s="118">
        <f>INDEX('Wage Assumptions'!$H$37:$J$48,
       MATCH($D32,'Wage Assumptions'!$C$37:$C$48,0),
       MATCH($E$28,{"Current Wages","Education Level Wages","Custom Wages"},0))</f>
        <v>48353.723246119058</v>
      </c>
      <c r="F32" s="58">
        <f>E32*F13</f>
        <v>20891.697558317432</v>
      </c>
    </row>
    <row r="33" spans="2:6" x14ac:dyDescent="0.25">
      <c r="D33" t="str">
        <f>D14</f>
        <v>Administrative and Office Support</v>
      </c>
      <c r="E33" s="118">
        <f>INDEX('Wage Assumptions'!$H$37:$J$48,
       MATCH($D33,'Wage Assumptions'!$C$37:$C$48,0),
       MATCH($E$28,{"Current Wages","Education Level Wages","Custom Wages"},0))</f>
        <v>47528.673365984389</v>
      </c>
      <c r="F33" s="58">
        <f>E33*F14</f>
        <v>92351.703279828696</v>
      </c>
    </row>
    <row r="34" spans="2:6" x14ac:dyDescent="0.25">
      <c r="D34" s="24" t="s">
        <v>344</v>
      </c>
      <c r="E34" s="13"/>
      <c r="F34" s="60">
        <f>SUM(F30:F33)</f>
        <v>256354.50950371899</v>
      </c>
    </row>
    <row r="36" spans="2:6" x14ac:dyDescent="0.25">
      <c r="C36" s="1" t="s">
        <v>36</v>
      </c>
    </row>
    <row r="37" spans="2:6" x14ac:dyDescent="0.25">
      <c r="D37" t="str">
        <f>D18</f>
        <v>Service Coordinator</v>
      </c>
      <c r="E37" s="118">
        <f>INDEX('Wage Assumptions'!$H$37:$J$48,
       MATCH($D37,'Wage Assumptions'!$C$37:$C$48,0),
       MATCH($E$28,{"Current Wages","Education Level Wages","Custom Wages"},0))</f>
        <v>54080</v>
      </c>
      <c r="F37" s="58">
        <f>E37*F18</f>
        <v>1057456.0756928914</v>
      </c>
    </row>
    <row r="38" spans="2:6" x14ac:dyDescent="0.25">
      <c r="D38" t="str">
        <f>D19</f>
        <v>Lead Service Coordinator</v>
      </c>
      <c r="E38" s="118">
        <f>INDEX('Wage Assumptions'!$H$37:$J$48,
       MATCH($D38,'Wage Assumptions'!$C$37:$C$48,0),
       MATCH($E$28,{"Current Wages","Education Level Wages","Custom Wages"},0))</f>
        <v>68553.63128268838</v>
      </c>
      <c r="F38" s="58">
        <f>E38*F19</f>
        <v>95799.104366474698</v>
      </c>
    </row>
    <row r="39" spans="2:6" x14ac:dyDescent="0.25">
      <c r="D39" t="str">
        <f>D20</f>
        <v>Intake/Transition Coordinator</v>
      </c>
      <c r="E39" s="118">
        <f>INDEX('Wage Assumptions'!$H$37:$J$48,
       MATCH($D39,'Wage Assumptions'!$C$37:$C$48,0),
       MATCH($E$28,{"Current Wages","Education Level Wages","Custom Wages"},0))</f>
        <v>36112.686854576124</v>
      </c>
      <c r="F39" s="58">
        <f>E39*F20</f>
        <v>15094.390265058626</v>
      </c>
    </row>
    <row r="40" spans="2:6" x14ac:dyDescent="0.25">
      <c r="D40" t="str">
        <f>D23</f>
        <v>Assistive Technology Specialist</v>
      </c>
      <c r="E40" s="118">
        <f>INDEX('Wage Assumptions'!$H$37:$J$48,
       MATCH($D40,'Wage Assumptions'!$C$37:$C$48,0),
       MATCH($E$28,{"Current Wages","Education Level Wages","Custom Wages"},0))</f>
        <v>54080</v>
      </c>
      <c r="F40" s="58">
        <f>E40*F23</f>
        <v>0</v>
      </c>
    </row>
    <row r="41" spans="2:6" x14ac:dyDescent="0.25">
      <c r="D41" t="str">
        <f>D24</f>
        <v xml:space="preserve">Parent Liaison </v>
      </c>
      <c r="E41" s="118">
        <f>INDEX('Wage Assumptions'!$H$37:$J$48,
       MATCH($D41,'Wage Assumptions'!$C$37:$C$48,0),
       MATCH($E$28,{"Current Wages","Education Level Wages","Custom Wages"},0))</f>
        <v>42055.653245806978</v>
      </c>
      <c r="F41" s="58">
        <f>E41*F24</f>
        <v>23988.508424095875</v>
      </c>
    </row>
    <row r="42" spans="2:6" x14ac:dyDescent="0.25">
      <c r="D42" t="str">
        <f>D25</f>
        <v xml:space="preserve">Other Specialized Support </v>
      </c>
      <c r="E42" s="118">
        <f>INDEX('Wage Assumptions'!$H$37:$J$48,
       MATCH($D42,'Wage Assumptions'!$C$37:$C$48,0),
       MATCH($E$28,{"Current Wages","Education Level Wages","Custom Wages"},0))</f>
        <v>99825.054780892853</v>
      </c>
      <c r="F42" s="58">
        <f>E42*F25</f>
        <v>27817.24148661903</v>
      </c>
    </row>
    <row r="43" spans="2:6" x14ac:dyDescent="0.25">
      <c r="D43" s="24" t="s">
        <v>345</v>
      </c>
      <c r="E43" s="13"/>
      <c r="F43" s="60">
        <f>SUM(F37:F42)</f>
        <v>1220155.3202351397</v>
      </c>
    </row>
    <row r="44" spans="2:6" x14ac:dyDescent="0.25">
      <c r="D44" s="3"/>
      <c r="F44" s="19"/>
    </row>
    <row r="45" spans="2:6" x14ac:dyDescent="0.25">
      <c r="B45" s="3" t="s">
        <v>346</v>
      </c>
      <c r="D45" s="3"/>
      <c r="E45" s="424">
        <v>7.0000000000000007E-2</v>
      </c>
    </row>
    <row r="46" spans="2:6" x14ac:dyDescent="0.25">
      <c r="D46" t="s">
        <v>347</v>
      </c>
      <c r="E46" s="424" t="s">
        <v>348</v>
      </c>
      <c r="F46" s="19">
        <f>IF(E46="All Staff",(E45*(F43+F34)),(E45*F43))</f>
        <v>103355.68808172012</v>
      </c>
    </row>
    <row r="47" spans="2:6" x14ac:dyDescent="0.25">
      <c r="D47" s="3"/>
      <c r="F47" s="19"/>
    </row>
    <row r="48" spans="2:6" ht="15.75" x14ac:dyDescent="0.25">
      <c r="C48" s="88" t="s">
        <v>349</v>
      </c>
      <c r="D48" s="89"/>
      <c r="E48" s="90"/>
      <c r="F48" s="91">
        <f>F34+F43+F46</f>
        <v>1579865.5178205788</v>
      </c>
    </row>
    <row r="50" spans="2:10" x14ac:dyDescent="0.25">
      <c r="B50" s="3" t="s">
        <v>350</v>
      </c>
    </row>
    <row r="51" spans="2:10" x14ac:dyDescent="0.25">
      <c r="D51" t="s">
        <v>253</v>
      </c>
      <c r="E51" s="145">
        <v>9390.7500326262689</v>
      </c>
      <c r="F51" s="58">
        <f>E51*(F26+F15)</f>
        <v>255213.95004710255</v>
      </c>
      <c r="G51" s="375" t="s">
        <v>351</v>
      </c>
      <c r="H51" s="368"/>
    </row>
    <row r="52" spans="2:10" x14ac:dyDescent="0.25">
      <c r="D52" t="s">
        <v>299</v>
      </c>
      <c r="E52" s="425">
        <v>0.05</v>
      </c>
      <c r="F52" s="58">
        <f>E52*F$48</f>
        <v>78993.275891028941</v>
      </c>
      <c r="G52" s="369" t="s">
        <v>352</v>
      </c>
    </row>
    <row r="53" spans="2:10" x14ac:dyDescent="0.25">
      <c r="D53" t="s">
        <v>297</v>
      </c>
      <c r="E53" s="400">
        <v>8.0000000000000002E-3</v>
      </c>
      <c r="F53" s="58">
        <f>E53*F$48</f>
        <v>12638.924142564631</v>
      </c>
      <c r="G53" s="369" t="s">
        <v>353</v>
      </c>
    </row>
    <row r="54" spans="2:10" x14ac:dyDescent="0.25">
      <c r="D54" t="s">
        <v>296</v>
      </c>
      <c r="E54" s="311">
        <v>7.6499999999999999E-2</v>
      </c>
      <c r="F54" s="58">
        <f>E54*F$48</f>
        <v>120859.71211327428</v>
      </c>
    </row>
    <row r="55" spans="2:10" x14ac:dyDescent="0.25">
      <c r="D55" t="s">
        <v>354</v>
      </c>
      <c r="E55" s="400">
        <v>1E-3</v>
      </c>
      <c r="F55" s="58">
        <f>E55*F$48</f>
        <v>1579.8655178205788</v>
      </c>
      <c r="G55" s="369" t="s">
        <v>355</v>
      </c>
      <c r="J55" s="68"/>
    </row>
    <row r="56" spans="2:10" ht="15.75" x14ac:dyDescent="0.25">
      <c r="B56" s="92" t="s">
        <v>356</v>
      </c>
      <c r="C56" s="93"/>
      <c r="D56" s="93"/>
      <c r="E56" s="94"/>
      <c r="F56" s="91">
        <f>SUM(F51:F55)</f>
        <v>469285.727711791</v>
      </c>
    </row>
    <row r="57" spans="2:10" x14ac:dyDescent="0.25">
      <c r="E57" s="381"/>
      <c r="F57" s="58"/>
      <c r="J57" s="68"/>
    </row>
    <row r="58" spans="2:10" x14ac:dyDescent="0.25">
      <c r="B58" s="3" t="s">
        <v>357</v>
      </c>
      <c r="E58" s="381"/>
      <c r="F58" s="58"/>
      <c r="J58" s="68"/>
    </row>
    <row r="59" spans="2:10" x14ac:dyDescent="0.25">
      <c r="D59" t="str">
        <f>D21</f>
        <v>Social Emotional Consultant*</v>
      </c>
      <c r="E59" s="118">
        <f>INDEX('Wage Assumptions'!$H$37:$J$48,
       MATCH($D59,'Wage Assumptions'!$C$37:$C$48,0),
       MATCH($E$28,{"Current Wages","Education Level Wages","Custom Wages"},0))</f>
        <v>107862.71012977841</v>
      </c>
      <c r="F59" s="58">
        <f>E59*F21</f>
        <v>66069.17859567079</v>
      </c>
    </row>
    <row r="60" spans="2:10" x14ac:dyDescent="0.25">
      <c r="D60" t="str">
        <f>D22</f>
        <v>Developmental Pediatric Consultant</v>
      </c>
      <c r="E60" s="118">
        <f>INDEX('Wage Assumptions'!$H$37:$J$48,
       MATCH($D60,'Wage Assumptions'!$C$37:$C$48,0),
       MATCH($E$28,{"Current Wages","Education Level Wages","Custom Wages"},0))</f>
        <v>211985.62663509257</v>
      </c>
      <c r="F60" s="58">
        <f>E60*F22</f>
        <v>48917.449841599548</v>
      </c>
    </row>
    <row r="61" spans="2:10" x14ac:dyDescent="0.25">
      <c r="D61" s="3" t="s">
        <v>243</v>
      </c>
      <c r="E61" s="383"/>
      <c r="F61" s="19">
        <f>SUM(F59:F60)</f>
        <v>114986.62843727034</v>
      </c>
    </row>
    <row r="63" spans="2:10" ht="15.75" x14ac:dyDescent="0.25">
      <c r="B63" s="92" t="s">
        <v>358</v>
      </c>
      <c r="C63" s="382"/>
      <c r="D63" s="93"/>
      <c r="E63" s="94"/>
      <c r="F63" s="91">
        <f>SUM(F48,F56,F61)</f>
        <v>2164137.8739696401</v>
      </c>
    </row>
    <row r="65" spans="2:11" x14ac:dyDescent="0.25">
      <c r="B65" s="3" t="s">
        <v>304</v>
      </c>
      <c r="G65" s="369" t="s">
        <v>359</v>
      </c>
    </row>
    <row r="66" spans="2:11" x14ac:dyDescent="0.25">
      <c r="D66" t="s">
        <v>360</v>
      </c>
      <c r="E66" s="118">
        <v>32922.826880000001</v>
      </c>
      <c r="F66" s="58">
        <f t="shared" ref="F66:F73" si="5">E66</f>
        <v>32922.826880000001</v>
      </c>
    </row>
    <row r="67" spans="2:11" x14ac:dyDescent="0.25">
      <c r="D67" t="s">
        <v>361</v>
      </c>
      <c r="E67" s="118">
        <v>4119.3555999999999</v>
      </c>
      <c r="F67" s="58">
        <f t="shared" si="5"/>
        <v>4119.3555999999999</v>
      </c>
    </row>
    <row r="68" spans="2:11" x14ac:dyDescent="0.25">
      <c r="D68" t="s">
        <v>362</v>
      </c>
      <c r="E68" s="118">
        <v>47032.980879999996</v>
      </c>
      <c r="F68" s="58">
        <f t="shared" si="5"/>
        <v>47032.980879999996</v>
      </c>
      <c r="K68" t="s">
        <v>363</v>
      </c>
    </row>
    <row r="69" spans="2:11" x14ac:dyDescent="0.25">
      <c r="D69" t="s">
        <v>364</v>
      </c>
      <c r="E69" s="118">
        <v>43005.957999999999</v>
      </c>
      <c r="F69" s="58">
        <f t="shared" si="5"/>
        <v>43005.957999999999</v>
      </c>
    </row>
    <row r="70" spans="2:11" x14ac:dyDescent="0.25">
      <c r="D70" t="s">
        <v>365</v>
      </c>
      <c r="E70" s="118">
        <v>87810.169479999982</v>
      </c>
      <c r="F70" s="58">
        <f t="shared" si="5"/>
        <v>87810.169479999982</v>
      </c>
    </row>
    <row r="71" spans="2:11" x14ac:dyDescent="0.25">
      <c r="D71" t="s">
        <v>366</v>
      </c>
      <c r="E71" s="118">
        <v>27876.015839999996</v>
      </c>
      <c r="F71" s="58">
        <f t="shared" si="5"/>
        <v>27876.015839999996</v>
      </c>
    </row>
    <row r="72" spans="2:11" x14ac:dyDescent="0.25">
      <c r="D72" t="s">
        <v>367</v>
      </c>
      <c r="E72" s="118">
        <v>9394.2564166666652</v>
      </c>
      <c r="F72" s="58">
        <f t="shared" si="5"/>
        <v>9394.2564166666652</v>
      </c>
    </row>
    <row r="73" spans="2:11" x14ac:dyDescent="0.25">
      <c r="D73" t="s">
        <v>368</v>
      </c>
      <c r="E73" s="118">
        <v>6748.892960000001</v>
      </c>
      <c r="F73" s="58">
        <f t="shared" si="5"/>
        <v>6748.892960000001</v>
      </c>
    </row>
    <row r="74" spans="2:11" x14ac:dyDescent="0.25">
      <c r="D74" s="24" t="s">
        <v>369</v>
      </c>
      <c r="E74" s="13"/>
      <c r="F74" s="60">
        <f>SUM(F66:F73)</f>
        <v>258910.45605666665</v>
      </c>
    </row>
    <row r="76" spans="2:11" ht="15.75" x14ac:dyDescent="0.25">
      <c r="B76" s="88" t="s">
        <v>370</v>
      </c>
      <c r="C76" s="93"/>
      <c r="D76" s="93"/>
      <c r="E76" s="94"/>
      <c r="F76" s="91">
        <f>F74</f>
        <v>258910.45605666665</v>
      </c>
    </row>
    <row r="78" spans="2:11" ht="15.75" x14ac:dyDescent="0.25">
      <c r="B78" s="88" t="s">
        <v>371</v>
      </c>
      <c r="C78" s="89"/>
      <c r="D78" s="89"/>
      <c r="E78" s="90"/>
      <c r="F78" s="91">
        <f>SUM(F63,F76)</f>
        <v>2423048.3300263067</v>
      </c>
    </row>
    <row r="79" spans="2:11" x14ac:dyDescent="0.25">
      <c r="D79" s="3" t="s">
        <v>372</v>
      </c>
      <c r="E79" s="424">
        <v>0.05</v>
      </c>
      <c r="F79" s="19">
        <f>E79*F78</f>
        <v>121152.41650131534</v>
      </c>
      <c r="G79" s="369" t="s">
        <v>373</v>
      </c>
    </row>
    <row r="80" spans="2:11" ht="15.75" thickBot="1" x14ac:dyDescent="0.3">
      <c r="D80" s="3"/>
      <c r="F80" s="19"/>
    </row>
    <row r="81" spans="2:6" ht="16.5" thickBot="1" x14ac:dyDescent="0.3">
      <c r="B81" s="95" t="s">
        <v>374</v>
      </c>
      <c r="C81" s="96"/>
      <c r="D81" s="96"/>
      <c r="E81" s="97"/>
      <c r="F81" s="98">
        <f>SUM(F78,F79)</f>
        <v>2544200.746527622</v>
      </c>
    </row>
    <row r="107" spans="10:10" x14ac:dyDescent="0.25">
      <c r="J107" s="69"/>
    </row>
    <row r="108" spans="10:10" x14ac:dyDescent="0.25">
      <c r="J108" s="69"/>
    </row>
  </sheetData>
  <sheetProtection algorithmName="SHA-512" hashValue="NXxo3rJzubJciHYmzkbM4HL1qdnmu9F96FGOzzZkpN+rPBQra69+GpLDn6Id7K/JgCe9FY3Gg6GcNI0SgsV0eQ==" saltValue="B2nm4gzRHXldOtEPPv+Pog==" spinCount="100000" sheet="1"/>
  <dataValidations count="3">
    <dataValidation type="list" allowBlank="1" showInputMessage="1" showErrorMessage="1" sqref="E46" xr:uid="{C3A5EC06-43A1-4F97-A591-022549A5253A}">
      <formula1>"All Staff,Direct Service Only"</formula1>
    </dataValidation>
    <dataValidation type="list" allowBlank="1" showInputMessage="1" showErrorMessage="1" sqref="E9" xr:uid="{D772770B-408E-444B-89A7-C3AC28714CDE}">
      <formula1>"Current Ratio,Desired Ratio"</formula1>
    </dataValidation>
    <dataValidation type="list" allowBlank="1" showInputMessage="1" showErrorMessage="1" sqref="E28" xr:uid="{21D97156-F378-4384-81AB-0552A0514DFA}">
      <formula1>"Current Wages,Education Level Wages,Custom Wages"</formula1>
    </dataValidation>
  </dataValidations>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99E3A-9C23-4069-AEC1-31D326F5B863}">
  <sheetPr>
    <tabColor theme="5" tint="0.39997558519241921"/>
  </sheetPr>
  <dimension ref="A1:M87"/>
  <sheetViews>
    <sheetView showGridLines="0" zoomScale="79" zoomScaleNormal="100" workbookViewId="0">
      <pane xSplit="2" topLeftCell="C1" activePane="topRight" state="frozen"/>
      <selection pane="topRight" activeCell="I53" sqref="I53"/>
    </sheetView>
  </sheetViews>
  <sheetFormatPr defaultColWidth="20.5703125" defaultRowHeight="15" customHeight="1" x14ac:dyDescent="0.25"/>
  <cols>
    <col min="1" max="1" width="2.5703125" customWidth="1"/>
    <col min="2" max="2" width="43.140625" customWidth="1"/>
  </cols>
  <sheetData>
    <row r="1" spans="1:13" s="321" customFormat="1" ht="15.75" x14ac:dyDescent="0.25">
      <c r="A1" s="316" t="s">
        <v>25</v>
      </c>
      <c r="C1" s="316"/>
      <c r="E1" s="322"/>
      <c r="F1" s="322"/>
      <c r="H1" s="322"/>
      <c r="I1" s="322"/>
      <c r="J1" s="322"/>
      <c r="K1" s="322"/>
      <c r="L1" s="322"/>
      <c r="M1" s="322"/>
    </row>
    <row r="2" spans="1:13" s="321" customFormat="1" ht="15.75" x14ac:dyDescent="0.25">
      <c r="A2" s="317" t="s">
        <v>375</v>
      </c>
      <c r="C2" s="317"/>
      <c r="E2" s="322"/>
      <c r="F2" s="322"/>
      <c r="H2" s="322"/>
      <c r="I2" s="322"/>
      <c r="J2" s="322"/>
      <c r="K2" s="322"/>
      <c r="L2" s="322"/>
      <c r="M2" s="322"/>
    </row>
    <row r="3" spans="1:13" s="321" customFormat="1" ht="15.75" x14ac:dyDescent="0.25">
      <c r="A3" s="318" t="s">
        <v>27</v>
      </c>
      <c r="C3" s="318"/>
      <c r="E3" s="322"/>
      <c r="F3" s="322"/>
      <c r="H3" s="322"/>
      <c r="I3" s="322"/>
      <c r="J3" s="322"/>
      <c r="K3" s="322"/>
      <c r="L3" s="322"/>
      <c r="M3" s="322"/>
    </row>
    <row r="4" spans="1:13" ht="15.75" thickBot="1" x14ac:dyDescent="0.3"/>
    <row r="5" spans="1:13" ht="15.75" thickBot="1" x14ac:dyDescent="0.3">
      <c r="B5" s="323" t="s">
        <v>91</v>
      </c>
      <c r="C5" s="325" t="s">
        <v>93</v>
      </c>
      <c r="D5" s="326" t="s">
        <v>94</v>
      </c>
      <c r="E5" s="326" t="s">
        <v>95</v>
      </c>
      <c r="F5" s="326" t="s">
        <v>96</v>
      </c>
      <c r="G5" s="327" t="s">
        <v>97</v>
      </c>
      <c r="H5" s="324" t="s">
        <v>92</v>
      </c>
    </row>
    <row r="6" spans="1:13" x14ac:dyDescent="0.25">
      <c r="B6" s="165" t="s">
        <v>98</v>
      </c>
      <c r="C6" s="58">
        <f>$C$27</f>
        <v>2059222.0559316131</v>
      </c>
      <c r="D6" s="58">
        <f>$D$27</f>
        <v>500000.45445095998</v>
      </c>
      <c r="E6" s="58">
        <f>$E$27</f>
        <v>3444530</v>
      </c>
      <c r="F6" s="58">
        <f>$F$27</f>
        <v>935182.97206703201</v>
      </c>
      <c r="G6" s="328">
        <f>$G$27</f>
        <v>1666605</v>
      </c>
      <c r="H6" s="328">
        <f>$H$27</f>
        <v>8605540.4824496061</v>
      </c>
    </row>
    <row r="7" spans="1:13" x14ac:dyDescent="0.25">
      <c r="B7" s="165" t="s">
        <v>99</v>
      </c>
      <c r="C7" s="58">
        <f>$C$82</f>
        <v>2325274.934610703</v>
      </c>
      <c r="D7" s="58">
        <f>$D$82</f>
        <v>830667.97824181174</v>
      </c>
      <c r="E7" s="58">
        <f>$E$82</f>
        <v>4263629.5723696807</v>
      </c>
      <c r="F7" s="58">
        <f>$F$82</f>
        <v>1241840.4855552095</v>
      </c>
      <c r="G7" s="328">
        <f>$G$82</f>
        <v>1666605</v>
      </c>
      <c r="H7" s="328">
        <f>$H$82</f>
        <v>10328017.970777405</v>
      </c>
    </row>
    <row r="8" spans="1:13" x14ac:dyDescent="0.25">
      <c r="B8" s="309" t="s">
        <v>100</v>
      </c>
      <c r="C8" s="19">
        <f t="shared" ref="C8:H8" si="0">SUM(C9:C10)</f>
        <v>266052.87867909018</v>
      </c>
      <c r="D8" s="19">
        <f t="shared" si="0"/>
        <v>330667.52379085176</v>
      </c>
      <c r="E8" s="19">
        <f t="shared" si="0"/>
        <v>819099.57236968062</v>
      </c>
      <c r="F8" s="19">
        <f t="shared" si="0"/>
        <v>306657.51348817744</v>
      </c>
      <c r="G8" s="329">
        <f t="shared" si="0"/>
        <v>0</v>
      </c>
      <c r="H8" s="329">
        <f t="shared" si="0"/>
        <v>1722477.4883278003</v>
      </c>
    </row>
    <row r="9" spans="1:13" x14ac:dyDescent="0.25">
      <c r="B9" s="330" t="s">
        <v>101</v>
      </c>
      <c r="C9" s="331">
        <f>$C$46</f>
        <v>221148.85825114176</v>
      </c>
      <c r="D9" s="331">
        <f>$D$46</f>
        <v>318640.03015732294</v>
      </c>
      <c r="E9" s="331">
        <f>$E$46</f>
        <v>757655.01689690957</v>
      </c>
      <c r="F9" s="331">
        <f>$F$46</f>
        <v>278602.02432616649</v>
      </c>
      <c r="G9" s="315">
        <f>$G$46</f>
        <v>0</v>
      </c>
      <c r="H9" s="315">
        <f>$H$46</f>
        <v>1576045.929631541</v>
      </c>
    </row>
    <row r="10" spans="1:13" ht="15.75" thickBot="1" x14ac:dyDescent="0.3">
      <c r="B10" s="332" t="s">
        <v>102</v>
      </c>
      <c r="C10" s="334">
        <f>$C$64</f>
        <v>44904.020427948388</v>
      </c>
      <c r="D10" s="334">
        <f>$D$64</f>
        <v>12027.4936335288</v>
      </c>
      <c r="E10" s="334">
        <f>$E$64</f>
        <v>61444.555472771077</v>
      </c>
      <c r="F10" s="334">
        <f>$F$64</f>
        <v>28055.489162010959</v>
      </c>
      <c r="G10" s="333">
        <f>$G$64</f>
        <v>0</v>
      </c>
      <c r="H10" s="333">
        <f>$H$64</f>
        <v>146431.55869625922</v>
      </c>
    </row>
    <row r="11" spans="1:13" x14ac:dyDescent="0.25"/>
    <row r="12" spans="1:13" x14ac:dyDescent="0.25"/>
    <row r="13" spans="1:13" s="335" customFormat="1" x14ac:dyDescent="0.25">
      <c r="B13" s="336" t="s">
        <v>376</v>
      </c>
      <c r="C13" s="337" t="s">
        <v>93</v>
      </c>
      <c r="D13" s="337" t="s">
        <v>94</v>
      </c>
      <c r="E13" s="337" t="s">
        <v>95</v>
      </c>
      <c r="F13" s="337" t="s">
        <v>96</v>
      </c>
      <c r="G13" s="337" t="s">
        <v>97</v>
      </c>
      <c r="H13" s="337" t="s">
        <v>92</v>
      </c>
    </row>
    <row r="15" spans="1:13" x14ac:dyDescent="0.25">
      <c r="B15" t="s">
        <v>377</v>
      </c>
      <c r="C15" s="338">
        <v>11.554807692307692</v>
      </c>
      <c r="D15" s="338">
        <v>4.4336769230769235</v>
      </c>
      <c r="E15" s="338">
        <v>19.5</v>
      </c>
      <c r="F15" s="338">
        <v>4.6082142857142854</v>
      </c>
      <c r="G15" s="338"/>
      <c r="H15" s="339">
        <f>SUM(C15:F15)</f>
        <v>40.096698901098897</v>
      </c>
    </row>
    <row r="17" spans="2:8" x14ac:dyDescent="0.25">
      <c r="B17" t="s">
        <v>378</v>
      </c>
      <c r="C17" s="340">
        <v>917626.25880833343</v>
      </c>
      <c r="D17" s="340">
        <v>204613.8204</v>
      </c>
      <c r="E17" s="53">
        <v>1064906.202</v>
      </c>
      <c r="F17" s="340">
        <v>247348.3734042857</v>
      </c>
      <c r="G17" s="340"/>
      <c r="H17" s="53">
        <f>SUM(C17:G17)</f>
        <v>2434494.6546126194</v>
      </c>
    </row>
    <row r="18" spans="2:8" x14ac:dyDescent="0.25">
      <c r="B18" t="s">
        <v>379</v>
      </c>
      <c r="C18" s="340">
        <v>356994.64294767834</v>
      </c>
      <c r="D18" s="340">
        <v>98543.164975800013</v>
      </c>
      <c r="E18" s="53">
        <f>E17*AVERAGE(C29:D29,F29)</f>
        <v>455229.02444760845</v>
      </c>
      <c r="F18" s="340">
        <v>101858.34998490772</v>
      </c>
      <c r="G18" s="340"/>
      <c r="H18" s="53">
        <f>SUM(C18:G18)</f>
        <v>1012625.1823559946</v>
      </c>
    </row>
    <row r="19" spans="2:8" x14ac:dyDescent="0.25">
      <c r="B19" s="24" t="s">
        <v>380</v>
      </c>
      <c r="C19" s="60">
        <f>SUM(C17:C18)</f>
        <v>1274620.9017560119</v>
      </c>
      <c r="D19" s="60">
        <f>SUM(D17:D18)</f>
        <v>303156.9853758</v>
      </c>
      <c r="E19" s="60">
        <f>SUM(E17:E18)</f>
        <v>1520135.2264476086</v>
      </c>
      <c r="F19" s="60">
        <f>SUM(F17:F18)</f>
        <v>349206.72338919342</v>
      </c>
      <c r="G19" s="60"/>
      <c r="H19" s="60">
        <f>SUM(C19:G19)</f>
        <v>3447119.8369686138</v>
      </c>
    </row>
    <row r="21" spans="2:8" x14ac:dyDescent="0.25">
      <c r="B21" t="s">
        <v>381</v>
      </c>
      <c r="C21" s="340">
        <v>552201.25</v>
      </c>
      <c r="D21" s="340">
        <v>82570</v>
      </c>
      <c r="E21" s="340">
        <v>356700</v>
      </c>
      <c r="F21" s="340">
        <v>0</v>
      </c>
      <c r="G21" s="340"/>
      <c r="H21" s="53">
        <f>SUM(C21:G21)</f>
        <v>991471.25</v>
      </c>
    </row>
    <row r="22" spans="2:8" x14ac:dyDescent="0.25">
      <c r="B22" t="s">
        <v>382</v>
      </c>
      <c r="C22" s="340">
        <v>86106.989999999991</v>
      </c>
      <c r="D22" s="340">
        <v>30940.060000000012</v>
      </c>
      <c r="E22" s="340">
        <v>341821</v>
      </c>
      <c r="F22" s="340">
        <v>430112.42</v>
      </c>
      <c r="G22" s="340"/>
      <c r="H22" s="53">
        <f>SUM(C22:G22)</f>
        <v>888980.47</v>
      </c>
    </row>
    <row r="23" spans="2:8" x14ac:dyDescent="0.25">
      <c r="B23" s="24" t="s">
        <v>383</v>
      </c>
      <c r="C23" s="60">
        <f>SUM(C21:C22)</f>
        <v>638308.24</v>
      </c>
      <c r="D23" s="60">
        <f>SUM(D21:D22)</f>
        <v>113510.06000000001</v>
      </c>
      <c r="E23" s="60">
        <f>SUM(E21:E22)</f>
        <v>698521</v>
      </c>
      <c r="F23" s="60">
        <f>SUM(F21:F22)</f>
        <v>430112.42</v>
      </c>
      <c r="G23" s="60"/>
      <c r="H23" s="60">
        <f>SUM(C23:G23)</f>
        <v>1880451.72</v>
      </c>
    </row>
    <row r="25" spans="2:8" s="3" customFormat="1" x14ac:dyDescent="0.25">
      <c r="B25" t="s">
        <v>384</v>
      </c>
      <c r="C25" s="340">
        <v>146292.91417560118</v>
      </c>
      <c r="D25" s="340">
        <v>83333.409075160002</v>
      </c>
      <c r="E25" s="340">
        <v>69852.100000000006</v>
      </c>
      <c r="F25" s="340">
        <v>155863.82867783867</v>
      </c>
      <c r="G25" s="340"/>
      <c r="H25" s="341">
        <f>SUM(C25:G25)</f>
        <v>455342.2519285999</v>
      </c>
    </row>
    <row r="26" spans="2:8" ht="15.75" thickBot="1" x14ac:dyDescent="0.3">
      <c r="B26" t="s">
        <v>385</v>
      </c>
      <c r="E26" s="58">
        <f>3444530-SUM(E19,E23,E25)</f>
        <v>1156021.6735523916</v>
      </c>
    </row>
    <row r="27" spans="2:8" ht="15.75" thickTop="1" x14ac:dyDescent="0.25">
      <c r="B27" s="342" t="s">
        <v>386</v>
      </c>
      <c r="C27" s="343">
        <f>SUM(C19,C23,C25)</f>
        <v>2059222.0559316131</v>
      </c>
      <c r="D27" s="343">
        <f>SUM(D19,D23,D25)</f>
        <v>500000.45445095998</v>
      </c>
      <c r="E27" s="343">
        <f>SUM(E19,E23,E25,E26)</f>
        <v>3444530</v>
      </c>
      <c r="F27" s="343">
        <f>SUM(F19,F23,F25)</f>
        <v>935182.97206703201</v>
      </c>
      <c r="G27" s="343">
        <v>1666605</v>
      </c>
      <c r="H27" s="343">
        <f>SUM(C27:G27)</f>
        <v>8605540.4824496061</v>
      </c>
    </row>
    <row r="29" spans="2:8" x14ac:dyDescent="0.25">
      <c r="B29" s="1" t="s">
        <v>387</v>
      </c>
      <c r="C29" s="344">
        <f>IFERROR(C18/C$17,0)</f>
        <v>0.38904144200416191</v>
      </c>
      <c r="D29" s="344">
        <f>IFERROR(D18/D$17,0)</f>
        <v>0.48160561580423927</v>
      </c>
      <c r="E29" s="344">
        <f>IFERROR(E18/E$17,0)</f>
        <v>0.42748274316803014</v>
      </c>
      <c r="F29" s="344">
        <f>IFERROR(F18/F$17,0)</f>
        <v>0.41180117169568931</v>
      </c>
      <c r="G29" s="344"/>
      <c r="H29" s="344">
        <f>IFERROR(H18/H$17,0)</f>
        <v>0.41594882142681272</v>
      </c>
    </row>
    <row r="30" spans="2:8" x14ac:dyDescent="0.25">
      <c r="B30" s="1" t="s">
        <v>388</v>
      </c>
      <c r="C30" s="344">
        <f>IFERROR(C19/C$27,0)</f>
        <v>0.61898176453794851</v>
      </c>
      <c r="D30" s="344">
        <f>IFERROR(D19/D$27,0)</f>
        <v>0.60631341967216879</v>
      </c>
      <c r="E30" s="344">
        <f>IFERROR(E19/E$27,0)</f>
        <v>0.44131862008680678</v>
      </c>
      <c r="F30" s="344">
        <f>IFERROR(F19/F$27,0)</f>
        <v>0.37341005324053633</v>
      </c>
      <c r="G30" s="344"/>
      <c r="H30" s="344">
        <f>IFERROR(H19/H$27,0)</f>
        <v>0.40056982405681224</v>
      </c>
    </row>
    <row r="32" spans="2:8" s="347" customFormat="1" x14ac:dyDescent="0.25">
      <c r="B32" s="345" t="s">
        <v>389</v>
      </c>
      <c r="C32" s="346" t="s">
        <v>93</v>
      </c>
      <c r="D32" s="346" t="s">
        <v>94</v>
      </c>
      <c r="E32" s="346" t="s">
        <v>95</v>
      </c>
      <c r="F32" s="346" t="s">
        <v>96</v>
      </c>
      <c r="G32" s="346" t="s">
        <v>97</v>
      </c>
      <c r="H32" s="346" t="s">
        <v>92</v>
      </c>
    </row>
    <row r="34" spans="2:10" x14ac:dyDescent="0.25">
      <c r="B34" t="s">
        <v>390</v>
      </c>
      <c r="C34" s="427">
        <v>2</v>
      </c>
      <c r="D34" s="427">
        <v>3</v>
      </c>
      <c r="E34" s="427">
        <v>9</v>
      </c>
      <c r="F34" s="427">
        <v>3</v>
      </c>
      <c r="G34" s="339"/>
      <c r="H34" s="339">
        <f>SUM(C34:F34)</f>
        <v>17</v>
      </c>
      <c r="I34" s="421">
        <v>0.03</v>
      </c>
      <c r="J34" t="s">
        <v>391</v>
      </c>
    </row>
    <row r="36" spans="2:10" x14ac:dyDescent="0.25">
      <c r="B36" t="s">
        <v>378</v>
      </c>
      <c r="C36" s="53">
        <v>144736.08238921405</v>
      </c>
      <c r="D36" s="53">
        <v>179220</v>
      </c>
      <c r="E36" s="53">
        <v>482511.81416000001</v>
      </c>
      <c r="F36" s="53">
        <f>F17/F$15*F$34*(1+$I$34)</f>
        <v>165857.40732340387</v>
      </c>
      <c r="G36" s="53"/>
      <c r="H36" s="53">
        <f>SUM(C36:G36)</f>
        <v>972325.30387261801</v>
      </c>
    </row>
    <row r="37" spans="2:10" x14ac:dyDescent="0.25">
      <c r="B37" t="s">
        <v>379</v>
      </c>
      <c r="C37" s="53">
        <f>C36*C29</f>
        <v>56308.334202733015</v>
      </c>
      <c r="D37" s="53">
        <f>D36*D29</f>
        <v>86313.358464435762</v>
      </c>
      <c r="E37" s="53">
        <f>E36*E29</f>
        <v>206265.47392809959</v>
      </c>
      <c r="F37" s="53">
        <f>F18/F15*F$34</f>
        <v>66310.946281734854</v>
      </c>
      <c r="G37" s="53"/>
      <c r="H37" s="53">
        <f>SUM(C37:G37)</f>
        <v>415198.11287700321</v>
      </c>
    </row>
    <row r="38" spans="2:10" x14ac:dyDescent="0.25">
      <c r="B38" s="24" t="s">
        <v>380</v>
      </c>
      <c r="C38" s="60">
        <f>SUM(C36:C37)</f>
        <v>201044.41659194705</v>
      </c>
      <c r="D38" s="60">
        <f>SUM(D36:D37)</f>
        <v>265533.35846443579</v>
      </c>
      <c r="E38" s="60">
        <f>SUM(E36:E37)</f>
        <v>688777.28808809957</v>
      </c>
      <c r="F38" s="60">
        <f>SUM(F36:F37)</f>
        <v>232168.35360513872</v>
      </c>
      <c r="G38" s="60"/>
      <c r="H38" s="60">
        <f>SUM(C38:G38)</f>
        <v>1387523.4167496213</v>
      </c>
    </row>
    <row r="40" spans="2:10" x14ac:dyDescent="0.25">
      <c r="B40" t="s">
        <v>381</v>
      </c>
      <c r="C40" s="53"/>
      <c r="D40" s="53"/>
      <c r="E40" s="53"/>
      <c r="F40" s="53"/>
      <c r="G40" s="53"/>
      <c r="H40" s="53">
        <f>SUM(C40:G40)</f>
        <v>0</v>
      </c>
    </row>
    <row r="41" spans="2:10" x14ac:dyDescent="0.25">
      <c r="B41" t="s">
        <v>382</v>
      </c>
      <c r="C41" s="53"/>
      <c r="D41" s="53"/>
      <c r="E41" s="53"/>
      <c r="F41" s="53"/>
      <c r="G41" s="53"/>
      <c r="H41" s="53">
        <f>SUM(C41:G41)</f>
        <v>0</v>
      </c>
    </row>
    <row r="42" spans="2:10" x14ac:dyDescent="0.25">
      <c r="B42" s="24" t="s">
        <v>383</v>
      </c>
      <c r="C42" s="60">
        <f>SUM(C40:C41)</f>
        <v>0</v>
      </c>
      <c r="D42" s="60">
        <f>SUM(D40:D41)</f>
        <v>0</v>
      </c>
      <c r="E42" s="60">
        <f>SUM(E40:E41)</f>
        <v>0</v>
      </c>
      <c r="F42" s="60">
        <f>SUM(F40:F41)</f>
        <v>0</v>
      </c>
      <c r="G42" s="60"/>
      <c r="H42" s="60">
        <f>SUM(C42:G42)</f>
        <v>0</v>
      </c>
    </row>
    <row r="44" spans="2:10" x14ac:dyDescent="0.25">
      <c r="B44" t="s">
        <v>384</v>
      </c>
      <c r="C44" s="341">
        <v>20104.441659194708</v>
      </c>
      <c r="D44" s="341">
        <v>53106.671692887161</v>
      </c>
      <c r="E44" s="341">
        <v>68877.728808809959</v>
      </c>
      <c r="F44" s="341">
        <v>46433.670721027745</v>
      </c>
      <c r="G44" s="341"/>
      <c r="H44" s="341">
        <f>SUM(C44:G44)</f>
        <v>188522.51288191957</v>
      </c>
    </row>
    <row r="45" spans="2:10" ht="15.75" thickBot="1" x14ac:dyDescent="0.3"/>
    <row r="46" spans="2:10" ht="15.75" thickTop="1" x14ac:dyDescent="0.25">
      <c r="B46" s="342" t="s">
        <v>392</v>
      </c>
      <c r="C46" s="343">
        <f>SUM(C38,C42,C44)</f>
        <v>221148.85825114176</v>
      </c>
      <c r="D46" s="343">
        <f>SUM(D38,D42,D44)</f>
        <v>318640.03015732294</v>
      </c>
      <c r="E46" s="343">
        <f>SUM(E38,E42,E44)</f>
        <v>757655.01689690957</v>
      </c>
      <c r="F46" s="343">
        <f>SUM(F38,F42,F44)</f>
        <v>278602.02432616649</v>
      </c>
      <c r="G46" s="343"/>
      <c r="H46" s="343">
        <f>SUM(C46:G46)</f>
        <v>1576045.929631541</v>
      </c>
    </row>
    <row r="48" spans="2:10" x14ac:dyDescent="0.25">
      <c r="B48" s="1" t="s">
        <v>393</v>
      </c>
      <c r="C48" s="344">
        <f>C38/C27</f>
        <v>9.7631246719039486E-2</v>
      </c>
      <c r="D48" s="344">
        <f>D38/D27</f>
        <v>0.5310662342417517</v>
      </c>
      <c r="E48" s="344">
        <f>E38/E27</f>
        <v>0.19996263295372652</v>
      </c>
      <c r="F48" s="344">
        <f>F38/F27</f>
        <v>0.24825981710507167</v>
      </c>
      <c r="G48" s="344"/>
      <c r="H48" s="344">
        <f>H38/H27</f>
        <v>0.16123605711685135</v>
      </c>
    </row>
    <row r="49" spans="2:10" x14ac:dyDescent="0.25">
      <c r="B49" s="1"/>
      <c r="C49" s="344"/>
      <c r="D49" s="344"/>
      <c r="E49" s="344"/>
      <c r="F49" s="344"/>
      <c r="G49" s="344"/>
      <c r="H49" s="344"/>
    </row>
    <row r="50" spans="2:10" s="347" customFormat="1" x14ac:dyDescent="0.25">
      <c r="B50" s="345" t="s">
        <v>394</v>
      </c>
      <c r="C50" s="346" t="s">
        <v>93</v>
      </c>
      <c r="D50" s="346" t="s">
        <v>94</v>
      </c>
      <c r="E50" s="346" t="s">
        <v>95</v>
      </c>
      <c r="F50" s="346" t="s">
        <v>96</v>
      </c>
      <c r="G50" s="346" t="s">
        <v>97</v>
      </c>
      <c r="H50" s="346" t="s">
        <v>92</v>
      </c>
    </row>
    <row r="52" spans="2:10" x14ac:dyDescent="0.25">
      <c r="I52" s="421">
        <v>0.03</v>
      </c>
      <c r="J52" t="s">
        <v>391</v>
      </c>
    </row>
    <row r="54" spans="2:10" x14ac:dyDescent="0.25">
      <c r="B54" t="s">
        <v>378</v>
      </c>
      <c r="C54" s="53">
        <f t="shared" ref="C54:F55" si="1">C17*$I$52</f>
        <v>27528.787764250003</v>
      </c>
      <c r="D54" s="53">
        <f t="shared" si="1"/>
        <v>6138.4146119999996</v>
      </c>
      <c r="E54" s="53">
        <f t="shared" si="1"/>
        <v>31947.18606</v>
      </c>
      <c r="F54" s="53">
        <f t="shared" si="1"/>
        <v>7420.4512021285709</v>
      </c>
      <c r="G54" s="53"/>
      <c r="H54" s="53">
        <f>SUM(C54:G54)</f>
        <v>73034.839638378588</v>
      </c>
    </row>
    <row r="55" spans="2:10" x14ac:dyDescent="0.25">
      <c r="B55" t="s">
        <v>379</v>
      </c>
      <c r="C55" s="53">
        <f t="shared" si="1"/>
        <v>10709.83928843035</v>
      </c>
      <c r="D55" s="53">
        <f t="shared" si="1"/>
        <v>2956.2949492740004</v>
      </c>
      <c r="E55" s="53">
        <f t="shared" si="1"/>
        <v>13656.870733428254</v>
      </c>
      <c r="F55" s="53">
        <f t="shared" si="1"/>
        <v>3055.7504995472314</v>
      </c>
      <c r="G55" s="53"/>
      <c r="H55" s="53">
        <f>SUM(C55:G55)</f>
        <v>30378.755470679836</v>
      </c>
    </row>
    <row r="56" spans="2:10" x14ac:dyDescent="0.25">
      <c r="B56" s="24" t="s">
        <v>380</v>
      </c>
      <c r="C56" s="60">
        <f>SUM(C54:C55)</f>
        <v>38238.627052680356</v>
      </c>
      <c r="D56" s="60">
        <f>SUM(D54:D55)</f>
        <v>9094.7095612739995</v>
      </c>
      <c r="E56" s="60">
        <f>SUM(E54:E55)</f>
        <v>45604.056793428252</v>
      </c>
      <c r="F56" s="60">
        <f>SUM(F54:F55)</f>
        <v>10476.201701675802</v>
      </c>
      <c r="G56" s="60"/>
      <c r="H56" s="60">
        <f>SUM(C56:G56)</f>
        <v>103413.59510905841</v>
      </c>
    </row>
    <row r="58" spans="2:10" x14ac:dyDescent="0.25">
      <c r="B58" t="s">
        <v>381</v>
      </c>
      <c r="C58" s="53"/>
      <c r="D58" s="53"/>
      <c r="E58" s="53"/>
      <c r="F58" s="53"/>
      <c r="G58" s="53"/>
      <c r="H58" s="53">
        <f>SUM(C58:G58)</f>
        <v>0</v>
      </c>
    </row>
    <row r="59" spans="2:10" x14ac:dyDescent="0.25">
      <c r="B59" t="s">
        <v>382</v>
      </c>
      <c r="C59" s="53">
        <f>C22*$I$52</f>
        <v>2583.2096999999994</v>
      </c>
      <c r="D59" s="53">
        <f>D22*$I$52</f>
        <v>928.20180000000028</v>
      </c>
      <c r="E59" s="53">
        <f>E22*$I$52</f>
        <v>10254.629999999999</v>
      </c>
      <c r="F59" s="53">
        <f>F22*$I$52</f>
        <v>12903.372599999999</v>
      </c>
      <c r="G59" s="53"/>
      <c r="H59" s="53">
        <f>SUM(C59:G59)</f>
        <v>26669.414099999998</v>
      </c>
    </row>
    <row r="60" spans="2:10" x14ac:dyDescent="0.25">
      <c r="B60" s="24" t="s">
        <v>383</v>
      </c>
      <c r="C60" s="60">
        <f>SUM(C58:C59)</f>
        <v>2583.2096999999994</v>
      </c>
      <c r="D60" s="60">
        <f>SUM(D58:D59)</f>
        <v>928.20180000000028</v>
      </c>
      <c r="E60" s="60">
        <f>SUM(E58:E59)</f>
        <v>10254.629999999999</v>
      </c>
      <c r="F60" s="60">
        <f>SUM(F58:F59)</f>
        <v>12903.372599999999</v>
      </c>
      <c r="G60" s="60"/>
      <c r="H60" s="60">
        <f>SUM(C60:G60)</f>
        <v>26669.414099999998</v>
      </c>
    </row>
    <row r="62" spans="2:10" x14ac:dyDescent="0.25">
      <c r="B62" t="s">
        <v>384</v>
      </c>
      <c r="C62" s="341">
        <v>4082.1836752680356</v>
      </c>
      <c r="D62" s="341">
        <v>2004.5822722548</v>
      </c>
      <c r="E62" s="341">
        <v>5585.8686793428251</v>
      </c>
      <c r="F62" s="341">
        <v>4675.9148603351596</v>
      </c>
      <c r="G62" s="341"/>
      <c r="H62" s="341">
        <f>SUM(C62:G62)</f>
        <v>16348.54948720082</v>
      </c>
    </row>
    <row r="63" spans="2:10" ht="15.75" thickBot="1" x14ac:dyDescent="0.3"/>
    <row r="64" spans="2:10" ht="15.75" thickTop="1" x14ac:dyDescent="0.25">
      <c r="B64" s="342" t="s">
        <v>392</v>
      </c>
      <c r="C64" s="343">
        <f>SUM(C56,C60,C62)</f>
        <v>44904.020427948388</v>
      </c>
      <c r="D64" s="343">
        <f>SUM(D56,D60,D62)</f>
        <v>12027.4936335288</v>
      </c>
      <c r="E64" s="343">
        <f>SUM(E56,E60,E62)</f>
        <v>61444.555472771077</v>
      </c>
      <c r="F64" s="343">
        <f>SUM(F56,F60,F62)</f>
        <v>28055.489162010959</v>
      </c>
      <c r="G64" s="343"/>
      <c r="H64" s="343">
        <f>SUM(C64:G64)</f>
        <v>146431.55869625922</v>
      </c>
    </row>
    <row r="66" spans="2:8" x14ac:dyDescent="0.25"/>
    <row r="68" spans="2:8" s="335" customFormat="1" x14ac:dyDescent="0.25">
      <c r="B68" s="336" t="s">
        <v>395</v>
      </c>
      <c r="C68" s="337" t="s">
        <v>93</v>
      </c>
      <c r="D68" s="337" t="s">
        <v>94</v>
      </c>
      <c r="E68" s="337" t="s">
        <v>95</v>
      </c>
      <c r="F68" s="337" t="s">
        <v>96</v>
      </c>
      <c r="G68" s="337" t="s">
        <v>97</v>
      </c>
      <c r="H68" s="337" t="s">
        <v>92</v>
      </c>
    </row>
    <row r="70" spans="2:8" x14ac:dyDescent="0.25">
      <c r="B70" t="s">
        <v>396</v>
      </c>
      <c r="C70" s="339">
        <f>SUM(C15,C34)</f>
        <v>13.554807692307692</v>
      </c>
      <c r="D70" s="339">
        <f>SUM(D15,D34)</f>
        <v>7.4336769230769235</v>
      </c>
      <c r="E70" s="339">
        <f>SUM(E15,E34)</f>
        <v>28.5</v>
      </c>
      <c r="F70" s="339">
        <f>SUM(F15,F34)</f>
        <v>7.6082142857142854</v>
      </c>
      <c r="G70" s="339"/>
      <c r="H70" s="339">
        <f>SUM(C70:F70)</f>
        <v>57.096698901098897</v>
      </c>
    </row>
    <row r="72" spans="2:8" x14ac:dyDescent="0.25">
      <c r="B72" t="s">
        <v>378</v>
      </c>
      <c r="C72" s="53">
        <f t="shared" ref="C72:F73" si="2">SUM(C17,C36,C54)</f>
        <v>1089891.1289617976</v>
      </c>
      <c r="D72" s="53">
        <f t="shared" si="2"/>
        <v>389972.23501199996</v>
      </c>
      <c r="E72" s="53">
        <f t="shared" si="2"/>
        <v>1579365.2022200001</v>
      </c>
      <c r="F72" s="53">
        <f t="shared" si="2"/>
        <v>420626.23192981811</v>
      </c>
      <c r="G72" s="53"/>
      <c r="H72" s="53">
        <f>SUM(C72:G72)</f>
        <v>3479854.7981236158</v>
      </c>
    </row>
    <row r="73" spans="2:8" x14ac:dyDescent="0.25">
      <c r="B73" t="s">
        <v>379</v>
      </c>
      <c r="C73" s="53">
        <f t="shared" si="2"/>
        <v>424012.81643884169</v>
      </c>
      <c r="D73" s="53">
        <f t="shared" si="2"/>
        <v>187812.81838950975</v>
      </c>
      <c r="E73" s="53">
        <f t="shared" si="2"/>
        <v>675151.36910913629</v>
      </c>
      <c r="F73" s="53">
        <f t="shared" si="2"/>
        <v>171225.0467661898</v>
      </c>
      <c r="G73" s="53"/>
      <c r="H73" s="53">
        <f>SUM(C73:G73)</f>
        <v>1458202.0507036776</v>
      </c>
    </row>
    <row r="74" spans="2:8" x14ac:dyDescent="0.25">
      <c r="B74" s="24" t="s">
        <v>380</v>
      </c>
      <c r="C74" s="60">
        <f>SUM(C72:C73)</f>
        <v>1513903.9454006392</v>
      </c>
      <c r="D74" s="60">
        <f>SUM(D72:D73)</f>
        <v>577785.05340150977</v>
      </c>
      <c r="E74" s="60">
        <f>SUM(E72:E73)</f>
        <v>2254516.5713291364</v>
      </c>
      <c r="F74" s="60">
        <f>SUM(F72:F73)</f>
        <v>591851.27869600791</v>
      </c>
      <c r="G74" s="60"/>
      <c r="H74" s="60">
        <f>SUM(C74:G74)</f>
        <v>4938056.8488272931</v>
      </c>
    </row>
    <row r="76" spans="2:8" x14ac:dyDescent="0.25">
      <c r="B76" t="s">
        <v>381</v>
      </c>
      <c r="C76" s="53">
        <f t="shared" ref="C76:F77" si="3">SUM(C21,C40,C58)</f>
        <v>552201.25</v>
      </c>
      <c r="D76" s="53">
        <f t="shared" si="3"/>
        <v>82570</v>
      </c>
      <c r="E76" s="53">
        <f t="shared" si="3"/>
        <v>356700</v>
      </c>
      <c r="F76" s="53">
        <f t="shared" si="3"/>
        <v>0</v>
      </c>
      <c r="G76" s="53"/>
      <c r="H76" s="53">
        <f>SUM(C76:G76)</f>
        <v>991471.25</v>
      </c>
    </row>
    <row r="77" spans="2:8" x14ac:dyDescent="0.25">
      <c r="B77" t="s">
        <v>382</v>
      </c>
      <c r="C77" s="53">
        <f t="shared" si="3"/>
        <v>88690.199699999997</v>
      </c>
      <c r="D77" s="53">
        <f t="shared" si="3"/>
        <v>31868.261800000011</v>
      </c>
      <c r="E77" s="53">
        <f t="shared" si="3"/>
        <v>352075.63</v>
      </c>
      <c r="F77" s="53">
        <f t="shared" si="3"/>
        <v>443015.79259999999</v>
      </c>
      <c r="G77" s="53"/>
      <c r="H77" s="53">
        <f>SUM(C77:G77)</f>
        <v>915649.88409999991</v>
      </c>
    </row>
    <row r="78" spans="2:8" x14ac:dyDescent="0.25">
      <c r="B78" s="24" t="s">
        <v>383</v>
      </c>
      <c r="C78" s="60">
        <f>SUM(C76:C77)</f>
        <v>640891.4497</v>
      </c>
      <c r="D78" s="60">
        <f>SUM(D76:D77)</f>
        <v>114438.26180000001</v>
      </c>
      <c r="E78" s="60">
        <f>SUM(E76:E77)</f>
        <v>708775.63</v>
      </c>
      <c r="F78" s="60">
        <f>SUM(F76:F77)</f>
        <v>443015.79259999999</v>
      </c>
      <c r="G78" s="60"/>
      <c r="H78" s="60">
        <f>SUM(C78:G78)</f>
        <v>1907121.1341000001</v>
      </c>
    </row>
    <row r="80" spans="2:8" x14ac:dyDescent="0.25">
      <c r="B80" t="s">
        <v>384</v>
      </c>
      <c r="C80" s="341">
        <f>SUM(C25,C44,C62)</f>
        <v>170479.53951006391</v>
      </c>
      <c r="D80" s="341">
        <f>SUM(D25,D44,D62)</f>
        <v>138444.66304030197</v>
      </c>
      <c r="E80" s="341">
        <f>SUM(E25,E44,E62)</f>
        <v>144315.6974881528</v>
      </c>
      <c r="F80" s="341">
        <f>SUM(F25,F44,F62)</f>
        <v>206973.41425920156</v>
      </c>
      <c r="G80" s="341"/>
      <c r="H80" s="341">
        <f>SUM(C80:G80)</f>
        <v>660213.31429772032</v>
      </c>
    </row>
    <row r="81" spans="2:8" ht="15.75" thickBot="1" x14ac:dyDescent="0.3">
      <c r="B81" t="s">
        <v>385</v>
      </c>
      <c r="E81" s="58">
        <f>E26</f>
        <v>1156021.6735523916</v>
      </c>
    </row>
    <row r="82" spans="2:8" ht="15.75" thickTop="1" x14ac:dyDescent="0.25">
      <c r="B82" s="342" t="s">
        <v>386</v>
      </c>
      <c r="C82" s="343">
        <f>SUM(C74,C78,C80)</f>
        <v>2325274.934610703</v>
      </c>
      <c r="D82" s="343">
        <f>SUM(D74,D78,D80)</f>
        <v>830667.97824181174</v>
      </c>
      <c r="E82" s="343">
        <f>SUM(E74,E78,E80,E81)</f>
        <v>4263629.5723696807</v>
      </c>
      <c r="F82" s="343">
        <f>SUM(F74,F78,F80)</f>
        <v>1241840.4855552095</v>
      </c>
      <c r="G82" s="343">
        <v>1666605</v>
      </c>
      <c r="H82" s="343">
        <f>SUM(C82:G82)</f>
        <v>10328017.970777405</v>
      </c>
    </row>
    <row r="84" spans="2:8" x14ac:dyDescent="0.25">
      <c r="B84" s="1" t="s">
        <v>387</v>
      </c>
      <c r="C84" s="344">
        <f>IFERROR(C73/C$72,0)</f>
        <v>0.38904144200416191</v>
      </c>
      <c r="D84" s="344">
        <f>IFERROR(D73/D$72,0)</f>
        <v>0.48160561580423922</v>
      </c>
      <c r="E84" s="344">
        <f>IFERROR(E73/E$72,0)</f>
        <v>0.42748274316803014</v>
      </c>
      <c r="F84" s="344">
        <f>IFERROR(F73/F$72,0)</f>
        <v>0.40707172726868557</v>
      </c>
      <c r="G84" s="344"/>
      <c r="H84" s="344">
        <f>IFERROR(H73/H$72,0)</f>
        <v>0.41904106214143177</v>
      </c>
    </row>
    <row r="85" spans="2:8" x14ac:dyDescent="0.25">
      <c r="B85" s="1" t="s">
        <v>388</v>
      </c>
      <c r="C85" s="344">
        <f>IFERROR(C74/C$82,0)</f>
        <v>0.65106449257541088</v>
      </c>
      <c r="D85" s="344">
        <f>IFERROR(D74/D$82,0)</f>
        <v>0.69556678304182029</v>
      </c>
      <c r="E85" s="344">
        <f>IFERROR(E74/E$82,0)</f>
        <v>0.52877871612943605</v>
      </c>
      <c r="F85" s="344">
        <f>IFERROR(F74/F$82,0)</f>
        <v>0.47659203060318933</v>
      </c>
      <c r="G85" s="344"/>
      <c r="H85" s="344">
        <f>IFERROR(H74/H$82,0)</f>
        <v>0.47812241059216498</v>
      </c>
    </row>
    <row r="87" spans="2:8" s="6" customFormat="1" ht="15.75" x14ac:dyDescent="0.25">
      <c r="B87" s="6" t="s">
        <v>397</v>
      </c>
      <c r="C87" s="348">
        <f>(C82-C27)/C27</f>
        <v>0.12920067455217932</v>
      </c>
      <c r="D87" s="348">
        <f>(D82-D27)/D27</f>
        <v>0.66133444649355533</v>
      </c>
      <c r="E87" s="348">
        <f>(E82-E27)/E27</f>
        <v>0.23779719508022307</v>
      </c>
      <c r="F87" s="348">
        <f>(F82-F27)/F27</f>
        <v>0.32791178052608605</v>
      </c>
      <c r="G87" s="348"/>
      <c r="H87" s="348">
        <f>(H82-H27)/H27</f>
        <v>0.20015912909138839</v>
      </c>
    </row>
  </sheetData>
  <sheetProtection sheet="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91ee594-d42a-42ab-9156-5d5ac0bd0937">
      <Terms xmlns="http://schemas.microsoft.com/office/infopath/2007/PartnerControls"/>
    </lcf76f155ced4ddcb4097134ff3c332f>
    <SharedWithUsers xmlns="700bfd95-e9d5-4d5b-891b-ba9dcb42fa85">
      <UserInfo>
        <DisplayName>Jorge Muñoz</DisplayName>
        <AccountId>64</AccountId>
        <AccountType/>
      </UserInfo>
    </SharedWithUsers>
    <TaxCatchAll xmlns="700bfd95-e9d5-4d5b-891b-ba9dcb42fa8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AC945D1F7F59E4F8F72BEAC5001C7FC" ma:contentTypeVersion="16" ma:contentTypeDescription="Create a new document." ma:contentTypeScope="" ma:versionID="b6e55507a793af9dd4e6c5d52fc5e031">
  <xsd:schema xmlns:xsd="http://www.w3.org/2001/XMLSchema" xmlns:xs="http://www.w3.org/2001/XMLSchema" xmlns:p="http://schemas.microsoft.com/office/2006/metadata/properties" xmlns:ns2="b91ee594-d42a-42ab-9156-5d5ac0bd0937" xmlns:ns3="700bfd95-e9d5-4d5b-891b-ba9dcb42fa85" targetNamespace="http://schemas.microsoft.com/office/2006/metadata/properties" ma:root="true" ma:fieldsID="56be8913dfbfbc27060812ac36fb1d41" ns2:_="" ns3:_="">
    <xsd:import namespace="b91ee594-d42a-42ab-9156-5d5ac0bd0937"/>
    <xsd:import namespace="700bfd95-e9d5-4d5b-891b-ba9dcb42fa8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1ee594-d42a-42ab-9156-5d5ac0bd09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34bd80cb-b55d-4a01-be99-577b45a2ddc1"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00bfd95-e9d5-4d5b-891b-ba9dcb42fa85"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b0378ffe-32d6-4b8c-b15a-8e6f8e3abb38}" ma:internalName="TaxCatchAll" ma:showField="CatchAllData" ma:web="700bfd95-e9d5-4d5b-891b-ba9dcb42fa8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3AD3C8C-428D-4636-B8D2-DEFDEE5CB247}">
  <ds:schemaRefs>
    <ds:schemaRef ds:uri="http://schemas.microsoft.com/sharepoint/v3/contenttype/forms"/>
  </ds:schemaRefs>
</ds:datastoreItem>
</file>

<file path=customXml/itemProps2.xml><?xml version="1.0" encoding="utf-8"?>
<ds:datastoreItem xmlns:ds="http://schemas.openxmlformats.org/officeDocument/2006/customXml" ds:itemID="{4B297A40-5F3B-4B52-85F9-4002199DA78A}">
  <ds:schemaRefs>
    <ds:schemaRef ds:uri="http://purl.org/dc/elements/1.1/"/>
    <ds:schemaRef ds:uri="aae007e9-0f9c-471f-ae3a-061c07009fea"/>
    <ds:schemaRef ds:uri="http://purl.org/dc/dcmitype/"/>
    <ds:schemaRef ds:uri="http://schemas.microsoft.com/office/2006/metadata/properties"/>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bf10eed1-3dad-45f5-bc0b-4c33b8aadccd"/>
    <ds:schemaRef ds:uri="http://purl.org/dc/terms/"/>
    <ds:schemaRef ds:uri="b91ee594-d42a-42ab-9156-5d5ac0bd0937"/>
    <ds:schemaRef ds:uri="700bfd95-e9d5-4d5b-891b-ba9dcb42fa85"/>
  </ds:schemaRefs>
</ds:datastoreItem>
</file>

<file path=customXml/itemProps3.xml><?xml version="1.0" encoding="utf-8"?>
<ds:datastoreItem xmlns:ds="http://schemas.openxmlformats.org/officeDocument/2006/customXml" ds:itemID="{C8AA7CC6-FF4F-40A2-9760-D3F7EA4C89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1ee594-d42a-42ab-9156-5d5ac0bd0937"/>
    <ds:schemaRef ds:uri="700bfd95-e9d5-4d5b-891b-ba9dcb42fa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Model Index</vt:lpstr>
      <vt:lpstr>Statewide Cost Summary</vt:lpstr>
      <vt:lpstr>Billable Rate Summary</vt:lpstr>
      <vt:lpstr>Wage Assumptions</vt:lpstr>
      <vt:lpstr>RateCalculators&gt;&gt;</vt:lpstr>
      <vt:lpstr>SelfEmployed</vt:lpstr>
      <vt:lpstr>Agency</vt:lpstr>
      <vt:lpstr>CFC</vt:lpstr>
      <vt:lpstr>Infrastructure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Alejandra Garcia</dc:creator>
  <cp:keywords/>
  <dc:description/>
  <cp:lastModifiedBy>Vazquez, Marilyn</cp:lastModifiedBy>
  <cp:revision/>
  <dcterms:created xsi:type="dcterms:W3CDTF">2024-01-26T17:47:09Z</dcterms:created>
  <dcterms:modified xsi:type="dcterms:W3CDTF">2025-12-23T14:41:15Z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0x010100AAC945D1F7F59E4F8F72BEAC5001C7FC</vt:lpwstr>
  </property>
  <property fmtid="{D5CDD505-2E9C-101B-9397-08002B2CF9AE}" pid="3" name="MediaServiceImageTags">
    <vt:lpwstr/>
  </property>
</Properties>
</file>